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-105" yWindow="-105" windowWidth="17520" windowHeight="10290" tabRatio="671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PCCM!$A$3:$AB$182</definedName>
    <definedName name="_xlnm.Print_Area" localSheetId="0">CBGV!$A$1:$P$76</definedName>
    <definedName name="_xlnm.Print_Area" localSheetId="3">PCCM!$K$1:$AA$184</definedName>
    <definedName name="_xlnm.Print_Area" localSheetId="5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2" l="1"/>
  <c r="N39" i="2"/>
  <c r="P71" i="2" l="1"/>
  <c r="N62" i="2" l="1"/>
  <c r="F71" i="2"/>
  <c r="O58" i="2"/>
  <c r="N58" i="2"/>
  <c r="AT47" i="1" l="1"/>
  <c r="AR47" i="1"/>
  <c r="AP47" i="1"/>
  <c r="AT48" i="1"/>
  <c r="AR48" i="1"/>
  <c r="AP48" i="1"/>
  <c r="AT46" i="1"/>
  <c r="AR46" i="1"/>
  <c r="AP46" i="1"/>
  <c r="AT45" i="1"/>
  <c r="AR45" i="1"/>
  <c r="AP45" i="1"/>
  <c r="CL59" i="8" l="1"/>
  <c r="CL58" i="8"/>
  <c r="CL57" i="8"/>
  <c r="CL56" i="8"/>
  <c r="CL55" i="8"/>
  <c r="CL54" i="8"/>
  <c r="CL53" i="8"/>
  <c r="CL52" i="8"/>
  <c r="CL51" i="8"/>
  <c r="CL50" i="8"/>
  <c r="CL49" i="8"/>
  <c r="CL48" i="8"/>
  <c r="CL47" i="8"/>
  <c r="CL46" i="8"/>
  <c r="CL45" i="8"/>
  <c r="CL44" i="8"/>
  <c r="CL43" i="8"/>
  <c r="CL42" i="8"/>
  <c r="CL41" i="8"/>
  <c r="CL40" i="8"/>
  <c r="CL34" i="8"/>
  <c r="CL33" i="8"/>
  <c r="CL32" i="8"/>
  <c r="CL31" i="8"/>
  <c r="CL30" i="8"/>
  <c r="CL29" i="8"/>
  <c r="CL28" i="8"/>
  <c r="CL27" i="8"/>
  <c r="CL26" i="8"/>
  <c r="CL25" i="8"/>
  <c r="CL24" i="8"/>
  <c r="CL23" i="8"/>
  <c r="CL22" i="8"/>
  <c r="CL21" i="8"/>
  <c r="CL20" i="8"/>
  <c r="CL19" i="8"/>
  <c r="CL18" i="8"/>
  <c r="CL17" i="8"/>
  <c r="CL16" i="8"/>
  <c r="CL15" i="8"/>
  <c r="CL14" i="8"/>
  <c r="CL13" i="8"/>
  <c r="CL12" i="8"/>
  <c r="CL11" i="8"/>
  <c r="CL10" i="8"/>
  <c r="CL9" i="8"/>
  <c r="CL8" i="8"/>
  <c r="CL7" i="8"/>
  <c r="CK59" i="8"/>
  <c r="CK58" i="8"/>
  <c r="CK57" i="8"/>
  <c r="CK56" i="8"/>
  <c r="CK55" i="8"/>
  <c r="CK54" i="8"/>
  <c r="CK53" i="8"/>
  <c r="CK52" i="8"/>
  <c r="CK51" i="8"/>
  <c r="CK50" i="8"/>
  <c r="CK49" i="8"/>
  <c r="CK48" i="8"/>
  <c r="CK47" i="8"/>
  <c r="CK46" i="8"/>
  <c r="CK45" i="8"/>
  <c r="CK44" i="8"/>
  <c r="CK43" i="8"/>
  <c r="CK42" i="8"/>
  <c r="CK41" i="8"/>
  <c r="CK40" i="8"/>
  <c r="CK34" i="8"/>
  <c r="CK33" i="8"/>
  <c r="CK32" i="8"/>
  <c r="CK31" i="8"/>
  <c r="CK30" i="8"/>
  <c r="CK29" i="8"/>
  <c r="CK28" i="8"/>
  <c r="CK27" i="8"/>
  <c r="CK26" i="8"/>
  <c r="CK25" i="8"/>
  <c r="CK24" i="8"/>
  <c r="CK23" i="8"/>
  <c r="CK22" i="8"/>
  <c r="CK21" i="8"/>
  <c r="CK20" i="8"/>
  <c r="CK19" i="8"/>
  <c r="CK18" i="8"/>
  <c r="CK17" i="8"/>
  <c r="CK16" i="8"/>
  <c r="CK15" i="8"/>
  <c r="CK14" i="8"/>
  <c r="CK13" i="8"/>
  <c r="CK12" i="8"/>
  <c r="CK11" i="8"/>
  <c r="CK10" i="8"/>
  <c r="CK9" i="8"/>
  <c r="CK8" i="8"/>
  <c r="CK7" i="8"/>
  <c r="BU59" i="8"/>
  <c r="BU58" i="8"/>
  <c r="BU57" i="8"/>
  <c r="BU56" i="8"/>
  <c r="BU55" i="8"/>
  <c r="BU54" i="8"/>
  <c r="BU53" i="8"/>
  <c r="BU52" i="8"/>
  <c r="BU51" i="8"/>
  <c r="BU50" i="8"/>
  <c r="BU49" i="8"/>
  <c r="BU48" i="8"/>
  <c r="BU47" i="8"/>
  <c r="BU46" i="8"/>
  <c r="BU45" i="8"/>
  <c r="BU44" i="8"/>
  <c r="BU43" i="8"/>
  <c r="BU42" i="8"/>
  <c r="BU41" i="8"/>
  <c r="BU40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Y59" i="8"/>
  <c r="BY58" i="8"/>
  <c r="BY57" i="8"/>
  <c r="BY56" i="8"/>
  <c r="BY55" i="8"/>
  <c r="BY54" i="8"/>
  <c r="BY53" i="8"/>
  <c r="BY52" i="8"/>
  <c r="BY7" i="8"/>
  <c r="BY51" i="8"/>
  <c r="BY50" i="8"/>
  <c r="BY49" i="8"/>
  <c r="BY48" i="8"/>
  <c r="BY47" i="8"/>
  <c r="BY46" i="8"/>
  <c r="BY45" i="8"/>
  <c r="BY44" i="8"/>
  <c r="BY43" i="8"/>
  <c r="BY42" i="8"/>
  <c r="BY41" i="8"/>
  <c r="BY40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CF51" i="8"/>
  <c r="L22" i="5" l="1"/>
  <c r="L7" i="5"/>
  <c r="L10" i="5"/>
  <c r="L13" i="5"/>
  <c r="L16" i="5"/>
  <c r="L19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L109" i="5"/>
  <c r="L112" i="5"/>
  <c r="L115" i="5"/>
  <c r="L118" i="5"/>
  <c r="L121" i="5"/>
  <c r="L124" i="5"/>
  <c r="X124" i="5" s="1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175" i="5"/>
  <c r="L178" i="5"/>
  <c r="N44" i="2"/>
  <c r="O44" i="2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Y124" i="5" l="1"/>
  <c r="Z124" i="5"/>
  <c r="AA124" i="5" s="1"/>
  <c r="Y112" i="5"/>
  <c r="AO13" i="1"/>
  <c r="V13" i="1"/>
  <c r="AO12" i="1"/>
  <c r="V12" i="1"/>
  <c r="L39" i="8"/>
  <c r="N40" i="2" l="1"/>
  <c r="O40" i="2"/>
  <c r="X112" i="5" s="1"/>
  <c r="Z112" i="5" s="1"/>
  <c r="AA112" i="5" s="1"/>
  <c r="O21" i="2"/>
  <c r="O9" i="2"/>
  <c r="O12" i="2"/>
  <c r="V15" i="1"/>
  <c r="AO15" i="1"/>
  <c r="V16" i="1"/>
  <c r="AO16" i="1"/>
  <c r="V17" i="1"/>
  <c r="AO17" i="1"/>
  <c r="V18" i="1"/>
  <c r="AO18" i="1"/>
  <c r="V19" i="1"/>
  <c r="AO19" i="1"/>
  <c r="V20" i="1"/>
  <c r="AO20" i="1"/>
  <c r="V21" i="1"/>
  <c r="AO21" i="1"/>
  <c r="V22" i="1"/>
  <c r="AO22" i="1"/>
  <c r="V23" i="1"/>
  <c r="AO23" i="1"/>
  <c r="V24" i="1"/>
  <c r="AO24" i="1"/>
  <c r="V25" i="1"/>
  <c r="AO25" i="1"/>
  <c r="V26" i="1"/>
  <c r="AO26" i="1"/>
  <c r="V27" i="1"/>
  <c r="AO27" i="1"/>
  <c r="V28" i="1"/>
  <c r="AO28" i="1"/>
  <c r="V29" i="1"/>
  <c r="AO29" i="1"/>
  <c r="V30" i="1"/>
  <c r="AO30" i="1"/>
  <c r="V31" i="1"/>
  <c r="AO31" i="1"/>
  <c r="V32" i="1"/>
  <c r="AO32" i="1"/>
  <c r="V33" i="1"/>
  <c r="AO33" i="1"/>
  <c r="V34" i="1"/>
  <c r="AO34" i="1"/>
  <c r="AF8" i="8" l="1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CN58" i="8"/>
  <c r="CN59" i="8"/>
  <c r="CM59" i="8"/>
  <c r="CM58" i="8"/>
  <c r="CH54" i="8"/>
  <c r="CH53" i="8"/>
  <c r="CH52" i="8"/>
  <c r="CH49" i="8"/>
  <c r="CH48" i="8"/>
  <c r="AY54" i="8"/>
  <c r="AY53" i="8"/>
  <c r="AY49" i="8"/>
  <c r="AY48" i="8"/>
  <c r="CG48" i="8"/>
  <c r="CG49" i="8"/>
  <c r="AX55" i="8"/>
  <c r="AX54" i="8"/>
  <c r="AZ45" i="8"/>
  <c r="AZ44" i="8"/>
  <c r="CE43" i="8"/>
  <c r="CE42" i="8"/>
  <c r="CO45" i="8"/>
  <c r="CO46" i="8"/>
  <c r="AD39" i="8" l="1"/>
  <c r="H60" i="8"/>
  <c r="I60" i="8"/>
  <c r="J60" i="8"/>
  <c r="K60" i="8"/>
  <c r="L60" i="8"/>
  <c r="L91" i="8" s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E60" i="8"/>
  <c r="F60" i="8"/>
  <c r="G60" i="8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CP34" i="8"/>
  <c r="CO34" i="8"/>
  <c r="CN34" i="8"/>
  <c r="CM34" i="8"/>
  <c r="CJ34" i="8"/>
  <c r="CI34" i="8"/>
  <c r="CH34" i="8"/>
  <c r="CG34" i="8"/>
  <c r="CF34" i="8"/>
  <c r="CE34" i="8"/>
  <c r="CD34" i="8"/>
  <c r="CC34" i="8"/>
  <c r="CB34" i="8"/>
  <c r="CA34" i="8"/>
  <c r="BZ34" i="8"/>
  <c r="BX34" i="8"/>
  <c r="BW34" i="8"/>
  <c r="BV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P33" i="8"/>
  <c r="CO33" i="8"/>
  <c r="CN33" i="8"/>
  <c r="CM33" i="8"/>
  <c r="CJ33" i="8"/>
  <c r="CI33" i="8"/>
  <c r="CH33" i="8"/>
  <c r="CG33" i="8"/>
  <c r="CF33" i="8"/>
  <c r="CE33" i="8"/>
  <c r="CD33" i="8"/>
  <c r="CC33" i="8"/>
  <c r="CB33" i="8"/>
  <c r="CA33" i="8"/>
  <c r="BZ33" i="8"/>
  <c r="BX33" i="8"/>
  <c r="BW33" i="8"/>
  <c r="BV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P32" i="8"/>
  <c r="CO32" i="8"/>
  <c r="CN32" i="8"/>
  <c r="CM32" i="8"/>
  <c r="CJ32" i="8"/>
  <c r="CI32" i="8"/>
  <c r="CH32" i="8"/>
  <c r="CG32" i="8"/>
  <c r="CF32" i="8"/>
  <c r="CE32" i="8"/>
  <c r="CD32" i="8"/>
  <c r="CC32" i="8"/>
  <c r="CB32" i="8"/>
  <c r="CA32" i="8"/>
  <c r="BZ32" i="8"/>
  <c r="BX32" i="8"/>
  <c r="BW32" i="8"/>
  <c r="BV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P8" i="8"/>
  <c r="CP59" i="8"/>
  <c r="CO59" i="8"/>
  <c r="CJ59" i="8"/>
  <c r="CI59" i="8"/>
  <c r="CH59" i="8"/>
  <c r="CG59" i="8"/>
  <c r="CF59" i="8"/>
  <c r="CE59" i="8"/>
  <c r="CD59" i="8"/>
  <c r="CC59" i="8"/>
  <c r="CB59" i="8"/>
  <c r="CA59" i="8"/>
  <c r="BZ59" i="8"/>
  <c r="BX59" i="8"/>
  <c r="BW59" i="8"/>
  <c r="BV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P58" i="8"/>
  <c r="CO58" i="8"/>
  <c r="CJ58" i="8"/>
  <c r="CI58" i="8"/>
  <c r="CH58" i="8"/>
  <c r="CG58" i="8"/>
  <c r="CF58" i="8"/>
  <c r="CE58" i="8"/>
  <c r="CD58" i="8"/>
  <c r="CC58" i="8"/>
  <c r="CB58" i="8"/>
  <c r="CA58" i="8"/>
  <c r="BZ58" i="8"/>
  <c r="BX58" i="8"/>
  <c r="BW58" i="8"/>
  <c r="BV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P57" i="8"/>
  <c r="CO57" i="8"/>
  <c r="CN57" i="8"/>
  <c r="CM57" i="8"/>
  <c r="CJ57" i="8"/>
  <c r="CI57" i="8"/>
  <c r="CH57" i="8"/>
  <c r="CG57" i="8"/>
  <c r="CF57" i="8"/>
  <c r="CE57" i="8"/>
  <c r="CD57" i="8"/>
  <c r="CC57" i="8"/>
  <c r="CB57" i="8"/>
  <c r="CA57" i="8"/>
  <c r="BZ57" i="8"/>
  <c r="BX57" i="8"/>
  <c r="BW57" i="8"/>
  <c r="BV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P56" i="8"/>
  <c r="CO56" i="8"/>
  <c r="CN56" i="8"/>
  <c r="CM56" i="8"/>
  <c r="CJ56" i="8"/>
  <c r="CI56" i="8"/>
  <c r="CH56" i="8"/>
  <c r="CG56" i="8"/>
  <c r="CF56" i="8"/>
  <c r="CE56" i="8"/>
  <c r="CD56" i="8"/>
  <c r="CC56" i="8"/>
  <c r="CB56" i="8"/>
  <c r="CA56" i="8"/>
  <c r="BZ56" i="8"/>
  <c r="BX56" i="8"/>
  <c r="BW56" i="8"/>
  <c r="BV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P55" i="8"/>
  <c r="CO55" i="8"/>
  <c r="CN55" i="8"/>
  <c r="CM55" i="8"/>
  <c r="CJ55" i="8"/>
  <c r="CI55" i="8"/>
  <c r="CH55" i="8"/>
  <c r="CG55" i="8"/>
  <c r="CF55" i="8"/>
  <c r="CE55" i="8"/>
  <c r="CD55" i="8"/>
  <c r="CC55" i="8"/>
  <c r="CB55" i="8"/>
  <c r="CA55" i="8"/>
  <c r="BZ55" i="8"/>
  <c r="BX55" i="8"/>
  <c r="BW55" i="8"/>
  <c r="BV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P54" i="8"/>
  <c r="CO54" i="8"/>
  <c r="CN54" i="8"/>
  <c r="CM54" i="8"/>
  <c r="CJ54" i="8"/>
  <c r="CI54" i="8"/>
  <c r="CG54" i="8"/>
  <c r="CF54" i="8"/>
  <c r="CE54" i="8"/>
  <c r="CD54" i="8"/>
  <c r="CC54" i="8"/>
  <c r="CB54" i="8"/>
  <c r="CA54" i="8"/>
  <c r="BZ54" i="8"/>
  <c r="BX54" i="8"/>
  <c r="BW54" i="8"/>
  <c r="BV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P53" i="8"/>
  <c r="CO53" i="8"/>
  <c r="CN53" i="8"/>
  <c r="CM53" i="8"/>
  <c r="CJ53" i="8"/>
  <c r="CI53" i="8"/>
  <c r="CG53" i="8"/>
  <c r="CF53" i="8"/>
  <c r="CE53" i="8"/>
  <c r="CD53" i="8"/>
  <c r="CC53" i="8"/>
  <c r="CB53" i="8"/>
  <c r="CA53" i="8"/>
  <c r="BZ53" i="8"/>
  <c r="BX53" i="8"/>
  <c r="BW53" i="8"/>
  <c r="BV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P52" i="8"/>
  <c r="CO52" i="8"/>
  <c r="CN52" i="8"/>
  <c r="CM52" i="8"/>
  <c r="CJ52" i="8"/>
  <c r="CI52" i="8"/>
  <c r="CG52" i="8"/>
  <c r="CF52" i="8"/>
  <c r="CE52" i="8"/>
  <c r="CD52" i="8"/>
  <c r="CC52" i="8"/>
  <c r="CB52" i="8"/>
  <c r="CA52" i="8"/>
  <c r="BZ52" i="8"/>
  <c r="BX52" i="8"/>
  <c r="BW52" i="8"/>
  <c r="BV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P51" i="8"/>
  <c r="CO51" i="8"/>
  <c r="CN51" i="8"/>
  <c r="CM51" i="8"/>
  <c r="CJ51" i="8"/>
  <c r="CI51" i="8"/>
  <c r="CH51" i="8"/>
  <c r="CG51" i="8"/>
  <c r="CE51" i="8"/>
  <c r="CD51" i="8"/>
  <c r="CC51" i="8"/>
  <c r="CB51" i="8"/>
  <c r="CA51" i="8"/>
  <c r="BZ51" i="8"/>
  <c r="BX51" i="8"/>
  <c r="BW51" i="8"/>
  <c r="BV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P50" i="8"/>
  <c r="CO50" i="8"/>
  <c r="CN50" i="8"/>
  <c r="CM50" i="8"/>
  <c r="CJ50" i="8"/>
  <c r="CI50" i="8"/>
  <c r="CH50" i="8"/>
  <c r="CG50" i="8"/>
  <c r="CF50" i="8"/>
  <c r="CE50" i="8"/>
  <c r="CD50" i="8"/>
  <c r="CC50" i="8"/>
  <c r="CB50" i="8"/>
  <c r="CA50" i="8"/>
  <c r="BZ50" i="8"/>
  <c r="BX50" i="8"/>
  <c r="BW50" i="8"/>
  <c r="BV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P49" i="8"/>
  <c r="CO49" i="8"/>
  <c r="CN49" i="8"/>
  <c r="CM49" i="8"/>
  <c r="CJ49" i="8"/>
  <c r="CI49" i="8"/>
  <c r="CF49" i="8"/>
  <c r="CE49" i="8"/>
  <c r="CD49" i="8"/>
  <c r="CC49" i="8"/>
  <c r="CB49" i="8"/>
  <c r="CA49" i="8"/>
  <c r="BZ49" i="8"/>
  <c r="BX49" i="8"/>
  <c r="BW49" i="8"/>
  <c r="BV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P48" i="8"/>
  <c r="CO48" i="8"/>
  <c r="CN48" i="8"/>
  <c r="CM48" i="8"/>
  <c r="CJ48" i="8"/>
  <c r="CI48" i="8"/>
  <c r="CF48" i="8"/>
  <c r="CE48" i="8"/>
  <c r="CD48" i="8"/>
  <c r="CC48" i="8"/>
  <c r="CB48" i="8"/>
  <c r="CA48" i="8"/>
  <c r="BX48" i="8"/>
  <c r="BW48" i="8"/>
  <c r="BV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P47" i="8"/>
  <c r="CO47" i="8"/>
  <c r="CN47" i="8"/>
  <c r="CM47" i="8"/>
  <c r="CJ47" i="8"/>
  <c r="CI47" i="8"/>
  <c r="CH47" i="8"/>
  <c r="CG47" i="8"/>
  <c r="CF47" i="8"/>
  <c r="CE47" i="8"/>
  <c r="CD47" i="8"/>
  <c r="CC47" i="8"/>
  <c r="CB47" i="8"/>
  <c r="CA47" i="8"/>
  <c r="BZ47" i="8"/>
  <c r="BX47" i="8"/>
  <c r="BW47" i="8"/>
  <c r="BV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P46" i="8"/>
  <c r="CN46" i="8"/>
  <c r="CM46" i="8"/>
  <c r="CJ46" i="8"/>
  <c r="CI46" i="8"/>
  <c r="CH46" i="8"/>
  <c r="CG46" i="8"/>
  <c r="CF46" i="8"/>
  <c r="CE46" i="8"/>
  <c r="CD46" i="8"/>
  <c r="CC46" i="8"/>
  <c r="CB46" i="8"/>
  <c r="CA46" i="8"/>
  <c r="BZ46" i="8"/>
  <c r="BX46" i="8"/>
  <c r="BW46" i="8"/>
  <c r="BV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P45" i="8"/>
  <c r="CN45" i="8"/>
  <c r="CM45" i="8"/>
  <c r="CJ45" i="8"/>
  <c r="CI45" i="8"/>
  <c r="CH45" i="8"/>
  <c r="CG45" i="8"/>
  <c r="CF45" i="8"/>
  <c r="CE45" i="8"/>
  <c r="CD45" i="8"/>
  <c r="CC45" i="8"/>
  <c r="CB45" i="8"/>
  <c r="CA45" i="8"/>
  <c r="BZ45" i="8"/>
  <c r="BX45" i="8"/>
  <c r="BW45" i="8"/>
  <c r="BV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P44" i="8"/>
  <c r="CO44" i="8"/>
  <c r="CN44" i="8"/>
  <c r="CM44" i="8"/>
  <c r="CJ44" i="8"/>
  <c r="CI44" i="8"/>
  <c r="CH44" i="8"/>
  <c r="CG44" i="8"/>
  <c r="CF44" i="8"/>
  <c r="CE44" i="8"/>
  <c r="CD44" i="8"/>
  <c r="CC44" i="8"/>
  <c r="CB44" i="8"/>
  <c r="CA44" i="8"/>
  <c r="BZ44" i="8"/>
  <c r="BX44" i="8"/>
  <c r="BW44" i="8"/>
  <c r="BV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P43" i="8"/>
  <c r="CO43" i="8"/>
  <c r="CN43" i="8"/>
  <c r="CM43" i="8"/>
  <c r="CJ43" i="8"/>
  <c r="CI43" i="8"/>
  <c r="CH43" i="8"/>
  <c r="CG43" i="8"/>
  <c r="CF43" i="8"/>
  <c r="CD43" i="8"/>
  <c r="CC43" i="8"/>
  <c r="CB43" i="8"/>
  <c r="CA43" i="8"/>
  <c r="BZ43" i="8"/>
  <c r="BX43" i="8"/>
  <c r="BW43" i="8"/>
  <c r="BV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P42" i="8"/>
  <c r="CO42" i="8"/>
  <c r="CN42" i="8"/>
  <c r="CM42" i="8"/>
  <c r="CJ42" i="8"/>
  <c r="CI42" i="8"/>
  <c r="CH42" i="8"/>
  <c r="CG42" i="8"/>
  <c r="CF42" i="8"/>
  <c r="CD42" i="8"/>
  <c r="CC42" i="8"/>
  <c r="CB42" i="8"/>
  <c r="CA42" i="8"/>
  <c r="BZ42" i="8"/>
  <c r="BX42" i="8"/>
  <c r="BW42" i="8"/>
  <c r="BV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P41" i="8"/>
  <c r="CO41" i="8"/>
  <c r="CN41" i="8"/>
  <c r="CM41" i="8"/>
  <c r="CJ41" i="8"/>
  <c r="CI41" i="8"/>
  <c r="CH41" i="8"/>
  <c r="CG41" i="8"/>
  <c r="CF41" i="8"/>
  <c r="CE41" i="8"/>
  <c r="CD41" i="8"/>
  <c r="CC41" i="8"/>
  <c r="CB41" i="8"/>
  <c r="CA41" i="8"/>
  <c r="BZ41" i="8"/>
  <c r="BX41" i="8"/>
  <c r="BW41" i="8"/>
  <c r="BV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P40" i="8"/>
  <c r="CO40" i="8"/>
  <c r="CN40" i="8"/>
  <c r="CM40" i="8"/>
  <c r="CJ40" i="8"/>
  <c r="CI40" i="8"/>
  <c r="CH40" i="8"/>
  <c r="CG40" i="8"/>
  <c r="CF40" i="8"/>
  <c r="CE40" i="8"/>
  <c r="CD40" i="8"/>
  <c r="CC40" i="8"/>
  <c r="CB40" i="8"/>
  <c r="CA40" i="8"/>
  <c r="BZ40" i="8"/>
  <c r="BX40" i="8"/>
  <c r="BW40" i="8"/>
  <c r="BV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P31" i="8"/>
  <c r="CF24" i="8"/>
  <c r="BD23" i="8"/>
  <c r="AT22" i="8"/>
  <c r="AX21" i="8"/>
  <c r="CB20" i="8"/>
  <c r="AT20" i="8"/>
  <c r="BZ19" i="8"/>
  <c r="BB19" i="8"/>
  <c r="BT18" i="8"/>
  <c r="AX18" i="8"/>
  <c r="CN17" i="8"/>
  <c r="BP17" i="8"/>
  <c r="AW17" i="8"/>
  <c r="CA16" i="8"/>
  <c r="BI16" i="8"/>
  <c r="AS16" i="8"/>
  <c r="CN15" i="8"/>
  <c r="BV15" i="8"/>
  <c r="BE15" i="8"/>
  <c r="AO15" i="8"/>
  <c r="CI14" i="8"/>
  <c r="CA14" i="8"/>
  <c r="BQ14" i="8"/>
  <c r="BI14" i="8"/>
  <c r="BA14" i="8"/>
  <c r="AS14" i="8"/>
  <c r="AK14" i="8"/>
  <c r="CN13" i="8"/>
  <c r="CE13" i="8"/>
  <c r="BV13" i="8"/>
  <c r="BM13" i="8"/>
  <c r="BE13" i="8"/>
  <c r="AW13" i="8"/>
  <c r="AP13" i="8"/>
  <c r="AK13" i="8"/>
  <c r="CJ12" i="8"/>
  <c r="CE12" i="8"/>
  <c r="BZ12" i="8"/>
  <c r="BR12" i="8"/>
  <c r="BM12" i="8"/>
  <c r="BH12" i="8"/>
  <c r="BB12" i="8"/>
  <c r="AW12" i="8"/>
  <c r="AR12" i="8"/>
  <c r="AL12" i="8"/>
  <c r="CM11" i="8"/>
  <c r="CF11" i="8"/>
  <c r="CA11" i="8"/>
  <c r="BT11" i="8"/>
  <c r="BN11" i="8"/>
  <c r="BI11" i="8"/>
  <c r="BD11" i="8"/>
  <c r="AX11" i="8"/>
  <c r="AS11" i="8"/>
  <c r="AN11" i="8"/>
  <c r="CN10" i="8"/>
  <c r="CH10" i="8"/>
  <c r="CB10" i="8"/>
  <c r="BV10" i="8"/>
  <c r="BP10" i="8"/>
  <c r="BJ10" i="8"/>
  <c r="BE10" i="8"/>
  <c r="AZ10" i="8"/>
  <c r="AT10" i="8"/>
  <c r="AO10" i="8"/>
  <c r="CO9" i="8"/>
  <c r="CI9" i="8"/>
  <c r="CH9" i="8"/>
  <c r="CD9" i="8"/>
  <c r="CB9" i="8"/>
  <c r="CA9" i="8"/>
  <c r="BW9" i="8"/>
  <c r="BV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O8" i="8"/>
  <c r="CN8" i="8"/>
  <c r="CM8" i="8"/>
  <c r="CJ8" i="8"/>
  <c r="CI8" i="8"/>
  <c r="CH8" i="8"/>
  <c r="CF8" i="8"/>
  <c r="CE8" i="8"/>
  <c r="CD8" i="8"/>
  <c r="CB8" i="8"/>
  <c r="CA8" i="8"/>
  <c r="BZ8" i="8"/>
  <c r="BW8" i="8"/>
  <c r="BV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P7" i="8"/>
  <c r="CO7" i="8"/>
  <c r="CN7" i="8"/>
  <c r="CM7" i="8"/>
  <c r="CJ7" i="8"/>
  <c r="CI7" i="8"/>
  <c r="CH7" i="8"/>
  <c r="CG7" i="8"/>
  <c r="CF7" i="8"/>
  <c r="CE7" i="8"/>
  <c r="CD7" i="8"/>
  <c r="CC7" i="8"/>
  <c r="CB7" i="8"/>
  <c r="CA7" i="8"/>
  <c r="BZ7" i="8"/>
  <c r="BX7" i="8"/>
  <c r="BW7" i="8"/>
  <c r="BV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6" i="5" l="1"/>
  <c r="CP9" i="8"/>
  <c r="CG9" i="8"/>
  <c r="CC9" i="8"/>
  <c r="BX9" i="8"/>
  <c r="CP10" i="8"/>
  <c r="CG10" i="8"/>
  <c r="CC10" i="8"/>
  <c r="BX10" i="8"/>
  <c r="BS10" i="8"/>
  <c r="BO10" i="8"/>
  <c r="BK10" i="8"/>
  <c r="BG10" i="8"/>
  <c r="BC10" i="8"/>
  <c r="AY10" i="8"/>
  <c r="AU10" i="8"/>
  <c r="AQ10" i="8"/>
  <c r="AM10" i="8"/>
  <c r="CP11" i="8"/>
  <c r="CG11" i="8"/>
  <c r="CC11" i="8"/>
  <c r="BX11" i="8"/>
  <c r="BS11" i="8"/>
  <c r="BO11" i="8"/>
  <c r="BK11" i="8"/>
  <c r="BG11" i="8"/>
  <c r="BC11" i="8"/>
  <c r="AY11" i="8"/>
  <c r="AU11" i="8"/>
  <c r="AQ11" i="8"/>
  <c r="AM11" i="8"/>
  <c r="CP12" i="8"/>
  <c r="CG12" i="8"/>
  <c r="CC12" i="8"/>
  <c r="BX12" i="8"/>
  <c r="BS12" i="8"/>
  <c r="BO12" i="8"/>
  <c r="BK12" i="8"/>
  <c r="BG12" i="8"/>
  <c r="BC12" i="8"/>
  <c r="AY12" i="8"/>
  <c r="AU12" i="8"/>
  <c r="AQ12" i="8"/>
  <c r="AM12" i="8"/>
  <c r="CM13" i="8"/>
  <c r="CH13" i="8"/>
  <c r="CD13" i="8"/>
  <c r="BZ13" i="8"/>
  <c r="BT13" i="8"/>
  <c r="BP13" i="8"/>
  <c r="BL13" i="8"/>
  <c r="BH13" i="8"/>
  <c r="BD13" i="8"/>
  <c r="AZ13" i="8"/>
  <c r="AV13" i="8"/>
  <c r="CP13" i="8"/>
  <c r="CG13" i="8"/>
  <c r="CC13" i="8"/>
  <c r="BX13" i="8"/>
  <c r="BS13" i="8"/>
  <c r="BO13" i="8"/>
  <c r="BK13" i="8"/>
  <c r="BG13" i="8"/>
  <c r="BC13" i="8"/>
  <c r="AY13" i="8"/>
  <c r="AU13" i="8"/>
  <c r="AQ13" i="8"/>
  <c r="AM13" i="8"/>
  <c r="CM14" i="8"/>
  <c r="CH14" i="8"/>
  <c r="CD14" i="8"/>
  <c r="BZ14" i="8"/>
  <c r="BT14" i="8"/>
  <c r="BP14" i="8"/>
  <c r="BL14" i="8"/>
  <c r="BH14" i="8"/>
  <c r="BD14" i="8"/>
  <c r="AZ14" i="8"/>
  <c r="AV14" i="8"/>
  <c r="AR14" i="8"/>
  <c r="AN14" i="8"/>
  <c r="CP14" i="8"/>
  <c r="CG14" i="8"/>
  <c r="CC14" i="8"/>
  <c r="BX14" i="8"/>
  <c r="BS14" i="8"/>
  <c r="BO14" i="8"/>
  <c r="BK14" i="8"/>
  <c r="BG14" i="8"/>
  <c r="BC14" i="8"/>
  <c r="AY14" i="8"/>
  <c r="AU14" i="8"/>
  <c r="AQ14" i="8"/>
  <c r="AM14" i="8"/>
  <c r="CM15" i="8"/>
  <c r="CH15" i="8"/>
  <c r="CD15" i="8"/>
  <c r="BZ15" i="8"/>
  <c r="BT15" i="8"/>
  <c r="BP15" i="8"/>
  <c r="BL15" i="8"/>
  <c r="BH15" i="8"/>
  <c r="BD15" i="8"/>
  <c r="AZ15" i="8"/>
  <c r="AV15" i="8"/>
  <c r="AR15" i="8"/>
  <c r="AN15" i="8"/>
  <c r="CP15" i="8"/>
  <c r="CG15" i="8"/>
  <c r="CC15" i="8"/>
  <c r="BX15" i="8"/>
  <c r="BS15" i="8"/>
  <c r="BO15" i="8"/>
  <c r="BK15" i="8"/>
  <c r="BG15" i="8"/>
  <c r="BC15" i="8"/>
  <c r="AY15" i="8"/>
  <c r="AU15" i="8"/>
  <c r="AQ15" i="8"/>
  <c r="AM15" i="8"/>
  <c r="CO15" i="8"/>
  <c r="CJ15" i="8"/>
  <c r="CF15" i="8"/>
  <c r="CB15" i="8"/>
  <c r="BW15" i="8"/>
  <c r="BR15" i="8"/>
  <c r="BN15" i="8"/>
  <c r="BJ15" i="8"/>
  <c r="BF15" i="8"/>
  <c r="BB15" i="8"/>
  <c r="AX15" i="8"/>
  <c r="AT15" i="8"/>
  <c r="AP15" i="8"/>
  <c r="CM16" i="8"/>
  <c r="CH16" i="8"/>
  <c r="CD16" i="8"/>
  <c r="BZ16" i="8"/>
  <c r="BT16" i="8"/>
  <c r="BP16" i="8"/>
  <c r="BL16" i="8"/>
  <c r="BH16" i="8"/>
  <c r="BD16" i="8"/>
  <c r="AZ16" i="8"/>
  <c r="AV16" i="8"/>
  <c r="AR16" i="8"/>
  <c r="AN16" i="8"/>
  <c r="CP16" i="8"/>
  <c r="CG16" i="8"/>
  <c r="CC16" i="8"/>
  <c r="BX16" i="8"/>
  <c r="BS16" i="8"/>
  <c r="BO16" i="8"/>
  <c r="BK16" i="8"/>
  <c r="BG16" i="8"/>
  <c r="BC16" i="8"/>
  <c r="AY16" i="8"/>
  <c r="AU16" i="8"/>
  <c r="AQ16" i="8"/>
  <c r="AM16" i="8"/>
  <c r="CO16" i="8"/>
  <c r="CJ16" i="8"/>
  <c r="CF16" i="8"/>
  <c r="CB16" i="8"/>
  <c r="BW16" i="8"/>
  <c r="BR16" i="8"/>
  <c r="BN16" i="8"/>
  <c r="BJ16" i="8"/>
  <c r="BF16" i="8"/>
  <c r="BB16" i="8"/>
  <c r="AX16" i="8"/>
  <c r="AT16" i="8"/>
  <c r="AP16" i="8"/>
  <c r="AL16" i="8"/>
  <c r="CP17" i="8"/>
  <c r="CG17" i="8"/>
  <c r="CC17" i="8"/>
  <c r="BX17" i="8"/>
  <c r="BS17" i="8"/>
  <c r="BO17" i="8"/>
  <c r="BK17" i="8"/>
  <c r="BG17" i="8"/>
  <c r="CM17" i="8"/>
  <c r="CF17" i="8"/>
  <c r="CA17" i="8"/>
  <c r="BT17" i="8"/>
  <c r="BN17" i="8"/>
  <c r="BI17" i="8"/>
  <c r="BD17" i="8"/>
  <c r="AZ17" i="8"/>
  <c r="AV17" i="8"/>
  <c r="AR17" i="8"/>
  <c r="AN17" i="8"/>
  <c r="CJ17" i="8"/>
  <c r="CE17" i="8"/>
  <c r="BZ17" i="8"/>
  <c r="BR17" i="8"/>
  <c r="BM17" i="8"/>
  <c r="BH17" i="8"/>
  <c r="BC17" i="8"/>
  <c r="AY17" i="8"/>
  <c r="AU17" i="8"/>
  <c r="AQ17" i="8"/>
  <c r="AM17" i="8"/>
  <c r="CO17" i="8"/>
  <c r="CI17" i="8"/>
  <c r="CD17" i="8"/>
  <c r="BW17" i="8"/>
  <c r="BQ17" i="8"/>
  <c r="BL17" i="8"/>
  <c r="BF17" i="8"/>
  <c r="BB17" i="8"/>
  <c r="AX17" i="8"/>
  <c r="AT17" i="8"/>
  <c r="AP17" i="8"/>
  <c r="AL17" i="8"/>
  <c r="CP18" i="8"/>
  <c r="CG18" i="8"/>
  <c r="CC18" i="8"/>
  <c r="BX18" i="8"/>
  <c r="BS18" i="8"/>
  <c r="BO18" i="8"/>
  <c r="BK18" i="8"/>
  <c r="BG18" i="8"/>
  <c r="BC18" i="8"/>
  <c r="AY18" i="8"/>
  <c r="AU18" i="8"/>
  <c r="AQ18" i="8"/>
  <c r="AM18" i="8"/>
  <c r="CJ18" i="8"/>
  <c r="CE18" i="8"/>
  <c r="BZ18" i="8"/>
  <c r="BR18" i="8"/>
  <c r="BM18" i="8"/>
  <c r="BH18" i="8"/>
  <c r="BB18" i="8"/>
  <c r="AW18" i="8"/>
  <c r="AR18" i="8"/>
  <c r="AL18" i="8"/>
  <c r="CO18" i="8"/>
  <c r="CI18" i="8"/>
  <c r="CD18" i="8"/>
  <c r="BW18" i="8"/>
  <c r="BQ18" i="8"/>
  <c r="BL18" i="8"/>
  <c r="BF18" i="8"/>
  <c r="BA18" i="8"/>
  <c r="AV18" i="8"/>
  <c r="AP18" i="8"/>
  <c r="AK18" i="8"/>
  <c r="CN18" i="8"/>
  <c r="CH18" i="8"/>
  <c r="CB18" i="8"/>
  <c r="BV18" i="8"/>
  <c r="BP18" i="8"/>
  <c r="BJ18" i="8"/>
  <c r="BE18" i="8"/>
  <c r="AZ18" i="8"/>
  <c r="AT18" i="8"/>
  <c r="AO18" i="8"/>
  <c r="CM19" i="8"/>
  <c r="CH19" i="8"/>
  <c r="CD19" i="8"/>
  <c r="CP19" i="8"/>
  <c r="CG19" i="8"/>
  <c r="CC19" i="8"/>
  <c r="BX19" i="8"/>
  <c r="BS19" i="8"/>
  <c r="BO19" i="8"/>
  <c r="BK19" i="8"/>
  <c r="BG19" i="8"/>
  <c r="BC19" i="8"/>
  <c r="AY19" i="8"/>
  <c r="AU19" i="8"/>
  <c r="AQ19" i="8"/>
  <c r="AM19" i="8"/>
  <c r="CN19" i="8"/>
  <c r="CE19" i="8"/>
  <c r="BW19" i="8"/>
  <c r="BQ19" i="8"/>
  <c r="BL19" i="8"/>
  <c r="BF19" i="8"/>
  <c r="BA19" i="8"/>
  <c r="AV19" i="8"/>
  <c r="AP19" i="8"/>
  <c r="AK19" i="8"/>
  <c r="CJ19" i="8"/>
  <c r="CB19" i="8"/>
  <c r="BV19" i="8"/>
  <c r="BP19" i="8"/>
  <c r="BJ19" i="8"/>
  <c r="BE19" i="8"/>
  <c r="AZ19" i="8"/>
  <c r="AT19" i="8"/>
  <c r="AO19" i="8"/>
  <c r="CI19" i="8"/>
  <c r="CA19" i="8"/>
  <c r="BT19" i="8"/>
  <c r="BN19" i="8"/>
  <c r="BI19" i="8"/>
  <c r="BD19" i="8"/>
  <c r="AX19" i="8"/>
  <c r="AS19" i="8"/>
  <c r="AN19" i="8"/>
  <c r="CM20" i="8"/>
  <c r="CH20" i="8"/>
  <c r="CD20" i="8"/>
  <c r="BZ20" i="8"/>
  <c r="BT20" i="8"/>
  <c r="BP20" i="8"/>
  <c r="BL20" i="8"/>
  <c r="BH20" i="8"/>
  <c r="BD20" i="8"/>
  <c r="AZ20" i="8"/>
  <c r="AV20" i="8"/>
  <c r="AR20" i="8"/>
  <c r="AN20" i="8"/>
  <c r="CP20" i="8"/>
  <c r="CG20" i="8"/>
  <c r="CC20" i="8"/>
  <c r="BX20" i="8"/>
  <c r="BS20" i="8"/>
  <c r="BO20" i="8"/>
  <c r="BK20" i="8"/>
  <c r="BG20" i="8"/>
  <c r="BC20" i="8"/>
  <c r="AY20" i="8"/>
  <c r="AU20" i="8"/>
  <c r="AQ20" i="8"/>
  <c r="AM20" i="8"/>
  <c r="CI20" i="8"/>
  <c r="CA20" i="8"/>
  <c r="BQ20" i="8"/>
  <c r="BI20" i="8"/>
  <c r="BA20" i="8"/>
  <c r="AS20" i="8"/>
  <c r="AK20" i="8"/>
  <c r="CO20" i="8"/>
  <c r="CF20" i="8"/>
  <c r="BW20" i="8"/>
  <c r="BN20" i="8"/>
  <c r="BF20" i="8"/>
  <c r="AX20" i="8"/>
  <c r="AP20" i="8"/>
  <c r="CN20" i="8"/>
  <c r="CE20" i="8"/>
  <c r="BV20" i="8"/>
  <c r="BM20" i="8"/>
  <c r="BE20" i="8"/>
  <c r="AW20" i="8"/>
  <c r="AO20" i="8"/>
  <c r="CN21" i="8"/>
  <c r="CI21" i="8"/>
  <c r="CE21" i="8"/>
  <c r="CA21" i="8"/>
  <c r="BV21" i="8"/>
  <c r="BQ21" i="8"/>
  <c r="BM21" i="8"/>
  <c r="BI21" i="8"/>
  <c r="CM21" i="8"/>
  <c r="CH21" i="8"/>
  <c r="CD21" i="8"/>
  <c r="BZ21" i="8"/>
  <c r="BT21" i="8"/>
  <c r="BP21" i="8"/>
  <c r="BL21" i="8"/>
  <c r="BH21" i="8"/>
  <c r="BD21" i="8"/>
  <c r="AZ21" i="8"/>
  <c r="AV21" i="8"/>
  <c r="AR21" i="8"/>
  <c r="AN21" i="8"/>
  <c r="CP21" i="8"/>
  <c r="CG21" i="8"/>
  <c r="CC21" i="8"/>
  <c r="BX21" i="8"/>
  <c r="BS21" i="8"/>
  <c r="BO21" i="8"/>
  <c r="BK21" i="8"/>
  <c r="BG21" i="8"/>
  <c r="BC21" i="8"/>
  <c r="AY21" i="8"/>
  <c r="AU21" i="8"/>
  <c r="AQ21" i="8"/>
  <c r="AM21" i="8"/>
  <c r="CJ21" i="8"/>
  <c r="BR21" i="8"/>
  <c r="BE21" i="8"/>
  <c r="AW21" i="8"/>
  <c r="AO21" i="8"/>
  <c r="CF21" i="8"/>
  <c r="BN21" i="8"/>
  <c r="BB21" i="8"/>
  <c r="AT21" i="8"/>
  <c r="AL21" i="8"/>
  <c r="CB21" i="8"/>
  <c r="BJ21" i="8"/>
  <c r="BA21" i="8"/>
  <c r="AS21" i="8"/>
  <c r="AK21" i="8"/>
  <c r="CN22" i="8"/>
  <c r="CI22" i="8"/>
  <c r="CE22" i="8"/>
  <c r="CA22" i="8"/>
  <c r="BV22" i="8"/>
  <c r="BQ22" i="8"/>
  <c r="BM22" i="8"/>
  <c r="BI22" i="8"/>
  <c r="BE22" i="8"/>
  <c r="BA22" i="8"/>
  <c r="AW22" i="8"/>
  <c r="AS22" i="8"/>
  <c r="AO22" i="8"/>
  <c r="AK22" i="8"/>
  <c r="CM22" i="8"/>
  <c r="CH22" i="8"/>
  <c r="CD22" i="8"/>
  <c r="BZ22" i="8"/>
  <c r="BT22" i="8"/>
  <c r="BP22" i="8"/>
  <c r="BL22" i="8"/>
  <c r="BH22" i="8"/>
  <c r="BD22" i="8"/>
  <c r="AZ22" i="8"/>
  <c r="AV22" i="8"/>
  <c r="AR22" i="8"/>
  <c r="AN22" i="8"/>
  <c r="CP22" i="8"/>
  <c r="CG22" i="8"/>
  <c r="CC22" i="8"/>
  <c r="BX22" i="8"/>
  <c r="BS22" i="8"/>
  <c r="BO22" i="8"/>
  <c r="BK22" i="8"/>
  <c r="BG22" i="8"/>
  <c r="BC22" i="8"/>
  <c r="AY22" i="8"/>
  <c r="AU22" i="8"/>
  <c r="AQ22" i="8"/>
  <c r="AM22" i="8"/>
  <c r="CO22" i="8"/>
  <c r="BW22" i="8"/>
  <c r="BF22" i="8"/>
  <c r="AP22" i="8"/>
  <c r="CJ22" i="8"/>
  <c r="BR22" i="8"/>
  <c r="BB22" i="8"/>
  <c r="AL22" i="8"/>
  <c r="CF22" i="8"/>
  <c r="BN22" i="8"/>
  <c r="AX22" i="8"/>
  <c r="CN23" i="8"/>
  <c r="CI23" i="8"/>
  <c r="CE23" i="8"/>
  <c r="CA23" i="8"/>
  <c r="BV23" i="8"/>
  <c r="BQ23" i="8"/>
  <c r="BM23" i="8"/>
  <c r="BI23" i="8"/>
  <c r="BE23" i="8"/>
  <c r="BA23" i="8"/>
  <c r="AW23" i="8"/>
  <c r="AS23" i="8"/>
  <c r="AO23" i="8"/>
  <c r="AK23" i="8"/>
  <c r="CF23" i="8"/>
  <c r="BZ23" i="8"/>
  <c r="BS23" i="8"/>
  <c r="BN23" i="8"/>
  <c r="BH23" i="8"/>
  <c r="BC23" i="8"/>
  <c r="AX23" i="8"/>
  <c r="AR23" i="8"/>
  <c r="AM23" i="8"/>
  <c r="CP23" i="8"/>
  <c r="CJ23" i="8"/>
  <c r="CD23" i="8"/>
  <c r="BX23" i="8"/>
  <c r="BR23" i="8"/>
  <c r="BL23" i="8"/>
  <c r="BG23" i="8"/>
  <c r="BB23" i="8"/>
  <c r="AV23" i="8"/>
  <c r="AQ23" i="8"/>
  <c r="AL23" i="8"/>
  <c r="CO23" i="8"/>
  <c r="CH23" i="8"/>
  <c r="CC23" i="8"/>
  <c r="BW23" i="8"/>
  <c r="BP23" i="8"/>
  <c r="BK23" i="8"/>
  <c r="BF23" i="8"/>
  <c r="AZ23" i="8"/>
  <c r="AU23" i="8"/>
  <c r="AP23" i="8"/>
  <c r="BT23" i="8"/>
  <c r="AY23" i="8"/>
  <c r="CM23" i="8"/>
  <c r="BO23" i="8"/>
  <c r="AT23" i="8"/>
  <c r="CG23" i="8"/>
  <c r="BJ23" i="8"/>
  <c r="AN23" i="8"/>
  <c r="CN24" i="8"/>
  <c r="CI24" i="8"/>
  <c r="CE24" i="8"/>
  <c r="CA24" i="8"/>
  <c r="BV24" i="8"/>
  <c r="BQ24" i="8"/>
  <c r="BM24" i="8"/>
  <c r="BI24" i="8"/>
  <c r="BE24" i="8"/>
  <c r="BA24" i="8"/>
  <c r="AW24" i="8"/>
  <c r="AS24" i="8"/>
  <c r="AO24" i="8"/>
  <c r="AK24" i="8"/>
  <c r="CP24" i="8"/>
  <c r="CJ24" i="8"/>
  <c r="CD24" i="8"/>
  <c r="BX24" i="8"/>
  <c r="BR24" i="8"/>
  <c r="BL24" i="8"/>
  <c r="BG24" i="8"/>
  <c r="BB24" i="8"/>
  <c r="AV24" i="8"/>
  <c r="AQ24" i="8"/>
  <c r="AL24" i="8"/>
  <c r="CO24" i="8"/>
  <c r="CH24" i="8"/>
  <c r="CC24" i="8"/>
  <c r="BW24" i="8"/>
  <c r="BP24" i="8"/>
  <c r="BK24" i="8"/>
  <c r="BF24" i="8"/>
  <c r="AZ24" i="8"/>
  <c r="AU24" i="8"/>
  <c r="AP24" i="8"/>
  <c r="CM24" i="8"/>
  <c r="CG24" i="8"/>
  <c r="CB24" i="8"/>
  <c r="BT24" i="8"/>
  <c r="BO24" i="8"/>
  <c r="BJ24" i="8"/>
  <c r="BD24" i="8"/>
  <c r="AY24" i="8"/>
  <c r="AT24" i="8"/>
  <c r="AN24" i="8"/>
  <c r="BZ24" i="8"/>
  <c r="BC24" i="8"/>
  <c r="BS24" i="8"/>
  <c r="AX24" i="8"/>
  <c r="BN24" i="8"/>
  <c r="AR24" i="8"/>
  <c r="CP25" i="8"/>
  <c r="CG25" i="8"/>
  <c r="CC25" i="8"/>
  <c r="BX25" i="8"/>
  <c r="BS25" i="8"/>
  <c r="BO25" i="8"/>
  <c r="BK25" i="8"/>
  <c r="BG25" i="8"/>
  <c r="BC25" i="8"/>
  <c r="AY25" i="8"/>
  <c r="AU25" i="8"/>
  <c r="AQ25" i="8"/>
  <c r="AM25" i="8"/>
  <c r="CO25" i="8"/>
  <c r="CJ25" i="8"/>
  <c r="CF25" i="8"/>
  <c r="CB25" i="8"/>
  <c r="BW25" i="8"/>
  <c r="BR25" i="8"/>
  <c r="BN25" i="8"/>
  <c r="BJ25" i="8"/>
  <c r="BF25" i="8"/>
  <c r="BB25" i="8"/>
  <c r="AX25" i="8"/>
  <c r="AT25" i="8"/>
  <c r="AP25" i="8"/>
  <c r="AL25" i="8"/>
  <c r="CN25" i="8"/>
  <c r="CI25" i="8"/>
  <c r="CE25" i="8"/>
  <c r="CA25" i="8"/>
  <c r="BV25" i="8"/>
  <c r="BQ25" i="8"/>
  <c r="BM25" i="8"/>
  <c r="BI25" i="8"/>
  <c r="BE25" i="8"/>
  <c r="BA25" i="8"/>
  <c r="AW25" i="8"/>
  <c r="AS25" i="8"/>
  <c r="AO25" i="8"/>
  <c r="AK25" i="8"/>
  <c r="CM25" i="8"/>
  <c r="BT25" i="8"/>
  <c r="BD25" i="8"/>
  <c r="AN25" i="8"/>
  <c r="CH25" i="8"/>
  <c r="BP25" i="8"/>
  <c r="AZ25" i="8"/>
  <c r="CD25" i="8"/>
  <c r="BL25" i="8"/>
  <c r="AV25" i="8"/>
  <c r="AR25" i="8"/>
  <c r="BZ25" i="8"/>
  <c r="CN26" i="8"/>
  <c r="CI26" i="8"/>
  <c r="CE26" i="8"/>
  <c r="CA26" i="8"/>
  <c r="BV26" i="8"/>
  <c r="BQ26" i="8"/>
  <c r="BM26" i="8"/>
  <c r="BI26" i="8"/>
  <c r="BE26" i="8"/>
  <c r="BA26" i="8"/>
  <c r="CM26" i="8"/>
  <c r="CG26" i="8"/>
  <c r="CB26" i="8"/>
  <c r="BT26" i="8"/>
  <c r="BO26" i="8"/>
  <c r="BJ26" i="8"/>
  <c r="BD26" i="8"/>
  <c r="AY26" i="8"/>
  <c r="AU26" i="8"/>
  <c r="AQ26" i="8"/>
  <c r="AM26" i="8"/>
  <c r="CF26" i="8"/>
  <c r="BZ26" i="8"/>
  <c r="BS26" i="8"/>
  <c r="BN26" i="8"/>
  <c r="BH26" i="8"/>
  <c r="BC26" i="8"/>
  <c r="AX26" i="8"/>
  <c r="AT26" i="8"/>
  <c r="AP26" i="8"/>
  <c r="AL26" i="8"/>
  <c r="CP26" i="8"/>
  <c r="CJ26" i="8"/>
  <c r="CD26" i="8"/>
  <c r="BX26" i="8"/>
  <c r="BR26" i="8"/>
  <c r="BL26" i="8"/>
  <c r="BG26" i="8"/>
  <c r="BB26" i="8"/>
  <c r="AW26" i="8"/>
  <c r="AS26" i="8"/>
  <c r="AO26" i="8"/>
  <c r="AK26" i="8"/>
  <c r="CH26" i="8"/>
  <c r="BK26" i="8"/>
  <c r="AR26" i="8"/>
  <c r="CC26" i="8"/>
  <c r="BF26" i="8"/>
  <c r="AN26" i="8"/>
  <c r="BW26" i="8"/>
  <c r="AZ26" i="8"/>
  <c r="AV26" i="8"/>
  <c r="CO26" i="8"/>
  <c r="CN27" i="8"/>
  <c r="CI27" i="8"/>
  <c r="CE27" i="8"/>
  <c r="CA27" i="8"/>
  <c r="BV27" i="8"/>
  <c r="BQ27" i="8"/>
  <c r="BM27" i="8"/>
  <c r="BI27" i="8"/>
  <c r="BE27" i="8"/>
  <c r="BA27" i="8"/>
  <c r="AW27" i="8"/>
  <c r="AS27" i="8"/>
  <c r="AO27" i="8"/>
  <c r="AK27" i="8"/>
  <c r="CF27" i="8"/>
  <c r="BZ27" i="8"/>
  <c r="BS27" i="8"/>
  <c r="BN27" i="8"/>
  <c r="BH27" i="8"/>
  <c r="BC27" i="8"/>
  <c r="AX27" i="8"/>
  <c r="AR27" i="8"/>
  <c r="AM27" i="8"/>
  <c r="CP27" i="8"/>
  <c r="CJ27" i="8"/>
  <c r="CD27" i="8"/>
  <c r="BX27" i="8"/>
  <c r="BR27" i="8"/>
  <c r="BL27" i="8"/>
  <c r="BG27" i="8"/>
  <c r="BB27" i="8"/>
  <c r="AV27" i="8"/>
  <c r="AQ27" i="8"/>
  <c r="AL27" i="8"/>
  <c r="CO27" i="8"/>
  <c r="CH27" i="8"/>
  <c r="CC27" i="8"/>
  <c r="BW27" i="8"/>
  <c r="BP27" i="8"/>
  <c r="BK27" i="8"/>
  <c r="BF27" i="8"/>
  <c r="AZ27" i="8"/>
  <c r="AU27" i="8"/>
  <c r="AP27" i="8"/>
  <c r="CM27" i="8"/>
  <c r="BO27" i="8"/>
  <c r="AT27" i="8"/>
  <c r="CG27" i="8"/>
  <c r="BJ27" i="8"/>
  <c r="AN27" i="8"/>
  <c r="CB27" i="8"/>
  <c r="BD27" i="8"/>
  <c r="BT27" i="8"/>
  <c r="AY27" i="8"/>
  <c r="CN28" i="8"/>
  <c r="CI28" i="8"/>
  <c r="CE28" i="8"/>
  <c r="CA28" i="8"/>
  <c r="BV28" i="8"/>
  <c r="BQ28" i="8"/>
  <c r="BM28" i="8"/>
  <c r="BI28" i="8"/>
  <c r="BE28" i="8"/>
  <c r="BA28" i="8"/>
  <c r="AW28" i="8"/>
  <c r="AS28" i="8"/>
  <c r="AO28" i="8"/>
  <c r="AK28" i="8"/>
  <c r="CM28" i="8"/>
  <c r="CH28" i="8"/>
  <c r="CD28" i="8"/>
  <c r="BZ28" i="8"/>
  <c r="BT28" i="8"/>
  <c r="BP28" i="8"/>
  <c r="BL28" i="8"/>
  <c r="BH28" i="8"/>
  <c r="BD28" i="8"/>
  <c r="AZ28" i="8"/>
  <c r="AV28" i="8"/>
  <c r="CP28" i="8"/>
  <c r="CG28" i="8"/>
  <c r="CC28" i="8"/>
  <c r="BX28" i="8"/>
  <c r="BS28" i="8"/>
  <c r="BO28" i="8"/>
  <c r="BK28" i="8"/>
  <c r="BG28" i="8"/>
  <c r="BC28" i="8"/>
  <c r="AY28" i="8"/>
  <c r="AU28" i="8"/>
  <c r="AQ28" i="8"/>
  <c r="CO28" i="8"/>
  <c r="BW28" i="8"/>
  <c r="BF28" i="8"/>
  <c r="AR28" i="8"/>
  <c r="AL28" i="8"/>
  <c r="CJ28" i="8"/>
  <c r="BR28" i="8"/>
  <c r="BB28" i="8"/>
  <c r="AP28" i="8"/>
  <c r="CF28" i="8"/>
  <c r="BN28" i="8"/>
  <c r="AX28" i="8"/>
  <c r="AN28" i="8"/>
  <c r="BJ28" i="8"/>
  <c r="AT28" i="8"/>
  <c r="AM28" i="8"/>
  <c r="CB28" i="8"/>
  <c r="CN29" i="8"/>
  <c r="CI29" i="8"/>
  <c r="CE29" i="8"/>
  <c r="CA29" i="8"/>
  <c r="BV29" i="8"/>
  <c r="BQ29" i="8"/>
  <c r="BM29" i="8"/>
  <c r="BI29" i="8"/>
  <c r="BE29" i="8"/>
  <c r="BA29" i="8"/>
  <c r="AW29" i="8"/>
  <c r="AS29" i="8"/>
  <c r="AO29" i="8"/>
  <c r="AK29" i="8"/>
  <c r="CM29" i="8"/>
  <c r="CH29" i="8"/>
  <c r="CD29" i="8"/>
  <c r="BZ29" i="8"/>
  <c r="BT29" i="8"/>
  <c r="BP29" i="8"/>
  <c r="BL29" i="8"/>
  <c r="BH29" i="8"/>
  <c r="BD29" i="8"/>
  <c r="AZ29" i="8"/>
  <c r="AV29" i="8"/>
  <c r="AR29" i="8"/>
  <c r="AN29" i="8"/>
  <c r="CP29" i="8"/>
  <c r="CG29" i="8"/>
  <c r="CC29" i="8"/>
  <c r="BX29" i="8"/>
  <c r="BS29" i="8"/>
  <c r="BO29" i="8"/>
  <c r="BK29" i="8"/>
  <c r="BG29" i="8"/>
  <c r="BC29" i="8"/>
  <c r="AY29" i="8"/>
  <c r="AU29" i="8"/>
  <c r="AQ29" i="8"/>
  <c r="AM29" i="8"/>
  <c r="CB29" i="8"/>
  <c r="BJ29" i="8"/>
  <c r="AT29" i="8"/>
  <c r="CO29" i="8"/>
  <c r="BW29" i="8"/>
  <c r="BF29" i="8"/>
  <c r="AP29" i="8"/>
  <c r="CJ29" i="8"/>
  <c r="BR29" i="8"/>
  <c r="BB29" i="8"/>
  <c r="AL29" i="8"/>
  <c r="BN29" i="8"/>
  <c r="AX29" i="8"/>
  <c r="CF29" i="8"/>
  <c r="CO30" i="8"/>
  <c r="CJ30" i="8"/>
  <c r="CF30" i="8"/>
  <c r="CB30" i="8"/>
  <c r="BW30" i="8"/>
  <c r="BR30" i="8"/>
  <c r="BN30" i="8"/>
  <c r="BJ30" i="8"/>
  <c r="BF30" i="8"/>
  <c r="BB30" i="8"/>
  <c r="AX30" i="8"/>
  <c r="AT30" i="8"/>
  <c r="AP30" i="8"/>
  <c r="AK30" i="8"/>
  <c r="CN30" i="8"/>
  <c r="CI30" i="8"/>
  <c r="CE30" i="8"/>
  <c r="CA30" i="8"/>
  <c r="BV30" i="8"/>
  <c r="BQ30" i="8"/>
  <c r="BM30" i="8"/>
  <c r="BI30" i="8"/>
  <c r="BE30" i="8"/>
  <c r="BA30" i="8"/>
  <c r="AW30" i="8"/>
  <c r="AS30" i="8"/>
  <c r="AO30" i="8"/>
  <c r="CM30" i="8"/>
  <c r="CH30" i="8"/>
  <c r="CD30" i="8"/>
  <c r="BZ30" i="8"/>
  <c r="BT30" i="8"/>
  <c r="BP30" i="8"/>
  <c r="BL30" i="8"/>
  <c r="BH30" i="8"/>
  <c r="BD30" i="8"/>
  <c r="AZ30" i="8"/>
  <c r="AV30" i="8"/>
  <c r="AR30" i="8"/>
  <c r="AM30" i="8"/>
  <c r="CG30" i="8"/>
  <c r="BO30" i="8"/>
  <c r="AY30" i="8"/>
  <c r="CC30" i="8"/>
  <c r="BK30" i="8"/>
  <c r="AU30" i="8"/>
  <c r="CP30" i="8"/>
  <c r="BX30" i="8"/>
  <c r="BG30" i="8"/>
  <c r="AQ30" i="8"/>
  <c r="BS30" i="8"/>
  <c r="BC30" i="8"/>
  <c r="AL30" i="8"/>
  <c r="CO31" i="8"/>
  <c r="CJ31" i="8"/>
  <c r="CF31" i="8"/>
  <c r="CB31" i="8"/>
  <c r="BW31" i="8"/>
  <c r="BR31" i="8"/>
  <c r="BN31" i="8"/>
  <c r="BJ31" i="8"/>
  <c r="BF31" i="8"/>
  <c r="BB31" i="8"/>
  <c r="AX31" i="8"/>
  <c r="AT31" i="8"/>
  <c r="AP31" i="8"/>
  <c r="AL31" i="8"/>
  <c r="CN31" i="8"/>
  <c r="CI31" i="8"/>
  <c r="CE31" i="8"/>
  <c r="CA31" i="8"/>
  <c r="BV31" i="8"/>
  <c r="BQ31" i="8"/>
  <c r="BM31" i="8"/>
  <c r="BI31" i="8"/>
  <c r="BE31" i="8"/>
  <c r="BA31" i="8"/>
  <c r="AW31" i="8"/>
  <c r="AS31" i="8"/>
  <c r="AO31" i="8"/>
  <c r="AK31" i="8"/>
  <c r="CM31" i="8"/>
  <c r="CH31" i="8"/>
  <c r="CD31" i="8"/>
  <c r="BZ31" i="8"/>
  <c r="BT31" i="8"/>
  <c r="BP31" i="8"/>
  <c r="BL31" i="8"/>
  <c r="BH31" i="8"/>
  <c r="BD31" i="8"/>
  <c r="AZ31" i="8"/>
  <c r="AV31" i="8"/>
  <c r="AR31" i="8"/>
  <c r="AN31" i="8"/>
  <c r="BS31" i="8"/>
  <c r="BC31" i="8"/>
  <c r="AM31" i="8"/>
  <c r="CG31" i="8"/>
  <c r="BO31" i="8"/>
  <c r="AY31" i="8"/>
  <c r="CC31" i="8"/>
  <c r="BK31" i="8"/>
  <c r="AU31" i="8"/>
  <c r="BX31" i="8"/>
  <c r="BG31" i="8"/>
  <c r="AQ31" i="8"/>
  <c r="AM8" i="8"/>
  <c r="AQ8" i="8"/>
  <c r="AU8" i="8"/>
  <c r="AY8" i="8"/>
  <c r="BC8" i="8"/>
  <c r="BG8" i="8"/>
  <c r="BK8" i="8"/>
  <c r="BO8" i="8"/>
  <c r="BS8" i="8"/>
  <c r="BX8" i="8"/>
  <c r="CC8" i="8"/>
  <c r="CG8" i="8"/>
  <c r="AM9" i="8"/>
  <c r="AQ9" i="8"/>
  <c r="AU9" i="8"/>
  <c r="AY9" i="8"/>
  <c r="BC9" i="8"/>
  <c r="BG9" i="8"/>
  <c r="BK9" i="8"/>
  <c r="BO9" i="8"/>
  <c r="BS9" i="8"/>
  <c r="BZ9" i="8"/>
  <c r="CE9" i="8"/>
  <c r="CJ9" i="8"/>
  <c r="AK10" i="8"/>
  <c r="AP10" i="8"/>
  <c r="AV10" i="8"/>
  <c r="BA10" i="8"/>
  <c r="BF10" i="8"/>
  <c r="BL10" i="8"/>
  <c r="BQ10" i="8"/>
  <c r="BW10" i="8"/>
  <c r="CD10" i="8"/>
  <c r="CI10" i="8"/>
  <c r="CO10" i="8"/>
  <c r="AO11" i="8"/>
  <c r="AT11" i="8"/>
  <c r="AZ11" i="8"/>
  <c r="BE11" i="8"/>
  <c r="BJ11" i="8"/>
  <c r="BP11" i="8"/>
  <c r="BV11" i="8"/>
  <c r="CB11" i="8"/>
  <c r="CH11" i="8"/>
  <c r="CN11" i="8"/>
  <c r="AN12" i="8"/>
  <c r="AS12" i="8"/>
  <c r="AX12" i="8"/>
  <c r="BD12" i="8"/>
  <c r="BI12" i="8"/>
  <c r="BN12" i="8"/>
  <c r="BT12" i="8"/>
  <c r="CA12" i="8"/>
  <c r="CF12" i="8"/>
  <c r="CM12" i="8"/>
  <c r="AL13" i="8"/>
  <c r="AR13" i="8"/>
  <c r="AX13" i="8"/>
  <c r="BF13" i="8"/>
  <c r="BN13" i="8"/>
  <c r="BW13" i="8"/>
  <c r="CF13" i="8"/>
  <c r="CO13" i="8"/>
  <c r="AL14" i="8"/>
  <c r="AT14" i="8"/>
  <c r="BB14" i="8"/>
  <c r="BJ14" i="8"/>
  <c r="BR14" i="8"/>
  <c r="CB14" i="8"/>
  <c r="CJ14" i="8"/>
  <c r="AS15" i="8"/>
  <c r="BI15" i="8"/>
  <c r="CA15" i="8"/>
  <c r="AW16" i="8"/>
  <c r="BM16" i="8"/>
  <c r="CE16" i="8"/>
  <c r="AK17" i="8"/>
  <c r="BA17" i="8"/>
  <c r="BV17" i="8"/>
  <c r="BD18" i="8"/>
  <c r="CA18" i="8"/>
  <c r="AL19" i="8"/>
  <c r="BH19" i="8"/>
  <c r="CF19" i="8"/>
  <c r="BB20" i="8"/>
  <c r="CJ20" i="8"/>
  <c r="BF21" i="8"/>
  <c r="BJ22" i="8"/>
  <c r="CB23" i="8"/>
  <c r="BH25" i="8"/>
  <c r="CF9" i="8"/>
  <c r="CM9" i="8"/>
  <c r="AL10" i="8"/>
  <c r="AR10" i="8"/>
  <c r="AW10" i="8"/>
  <c r="BB10" i="8"/>
  <c r="BH10" i="8"/>
  <c r="BM10" i="8"/>
  <c r="BR10" i="8"/>
  <c r="BZ10" i="8"/>
  <c r="CE10" i="8"/>
  <c r="CJ10" i="8"/>
  <c r="AK11" i="8"/>
  <c r="AP11" i="8"/>
  <c r="AV11" i="8"/>
  <c r="BA11" i="8"/>
  <c r="BF11" i="8"/>
  <c r="BL11" i="8"/>
  <c r="BQ11" i="8"/>
  <c r="BW11" i="8"/>
  <c r="CD11" i="8"/>
  <c r="CI11" i="8"/>
  <c r="CO11" i="8"/>
  <c r="AO12" i="8"/>
  <c r="AT12" i="8"/>
  <c r="AZ12" i="8"/>
  <c r="BE12" i="8"/>
  <c r="BJ12" i="8"/>
  <c r="BP12" i="8"/>
  <c r="BV12" i="8"/>
  <c r="CB12" i="8"/>
  <c r="CH12" i="8"/>
  <c r="CN12" i="8"/>
  <c r="AN13" i="8"/>
  <c r="AS13" i="8"/>
  <c r="BA13" i="8"/>
  <c r="BI13" i="8"/>
  <c r="BQ13" i="8"/>
  <c r="CA13" i="8"/>
  <c r="CI13" i="8"/>
  <c r="AO14" i="8"/>
  <c r="AW14" i="8"/>
  <c r="BE14" i="8"/>
  <c r="BM14" i="8"/>
  <c r="BV14" i="8"/>
  <c r="CE14" i="8"/>
  <c r="CN14" i="8"/>
  <c r="AK15" i="8"/>
  <c r="AW15" i="8"/>
  <c r="BM15" i="8"/>
  <c r="CE15" i="8"/>
  <c r="AK16" i="8"/>
  <c r="BA16" i="8"/>
  <c r="BQ16" i="8"/>
  <c r="CI16" i="8"/>
  <c r="AO17" i="8"/>
  <c r="BE17" i="8"/>
  <c r="CB17" i="8"/>
  <c r="AN18" i="8"/>
  <c r="BI18" i="8"/>
  <c r="CF18" i="8"/>
  <c r="AR19" i="8"/>
  <c r="BM19" i="8"/>
  <c r="CO19" i="8"/>
  <c r="BJ20" i="8"/>
  <c r="BW21" i="8"/>
  <c r="CB22" i="8"/>
  <c r="AM24" i="8"/>
  <c r="BP26" i="8"/>
  <c r="CN9" i="8"/>
  <c r="AN10" i="8"/>
  <c r="AS10" i="8"/>
  <c r="AX10" i="8"/>
  <c r="BD10" i="8"/>
  <c r="BI10" i="8"/>
  <c r="BN10" i="8"/>
  <c r="BT10" i="8"/>
  <c r="CA10" i="8"/>
  <c r="CF10" i="8"/>
  <c r="CM10" i="8"/>
  <c r="AL11" i="8"/>
  <c r="AR11" i="8"/>
  <c r="AW11" i="8"/>
  <c r="BB11" i="8"/>
  <c r="BH11" i="8"/>
  <c r="BM11" i="8"/>
  <c r="BR11" i="8"/>
  <c r="BZ11" i="8"/>
  <c r="CE11" i="8"/>
  <c r="CJ11" i="8"/>
  <c r="AK12" i="8"/>
  <c r="AP12" i="8"/>
  <c r="AV12" i="8"/>
  <c r="BA12" i="8"/>
  <c r="BF12" i="8"/>
  <c r="BL12" i="8"/>
  <c r="BQ12" i="8"/>
  <c r="BW12" i="8"/>
  <c r="CD12" i="8"/>
  <c r="CI12" i="8"/>
  <c r="CO12" i="8"/>
  <c r="AO13" i="8"/>
  <c r="AT13" i="8"/>
  <c r="BB13" i="8"/>
  <c r="BJ13" i="8"/>
  <c r="BR13" i="8"/>
  <c r="CB13" i="8"/>
  <c r="CJ13" i="8"/>
  <c r="AP14" i="8"/>
  <c r="AX14" i="8"/>
  <c r="BF14" i="8"/>
  <c r="BN14" i="8"/>
  <c r="BW14" i="8"/>
  <c r="CF14" i="8"/>
  <c r="CO14" i="8"/>
  <c r="AL15" i="8"/>
  <c r="BA15" i="8"/>
  <c r="BQ15" i="8"/>
  <c r="CI15" i="8"/>
  <c r="AO16" i="8"/>
  <c r="BE16" i="8"/>
  <c r="BV16" i="8"/>
  <c r="CN16" i="8"/>
  <c r="AS17" i="8"/>
  <c r="BJ17" i="8"/>
  <c r="CH17" i="8"/>
  <c r="AS18" i="8"/>
  <c r="BN18" i="8"/>
  <c r="CM18" i="8"/>
  <c r="AW19" i="8"/>
  <c r="BR19" i="8"/>
  <c r="AL20" i="8"/>
  <c r="BR20" i="8"/>
  <c r="AP21" i="8"/>
  <c r="CO21" i="8"/>
  <c r="BH24" i="8"/>
  <c r="AO8" i="1"/>
  <c r="AO9" i="1"/>
  <c r="AO10" i="1"/>
  <c r="AO11" i="1"/>
  <c r="AO14" i="1"/>
  <c r="AO35" i="1"/>
  <c r="AO36" i="1"/>
  <c r="AO7" i="1"/>
  <c r="V8" i="1"/>
  <c r="V9" i="1"/>
  <c r="V10" i="1"/>
  <c r="V11" i="1"/>
  <c r="V14" i="1"/>
  <c r="V7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7" i="2"/>
  <c r="O37" i="2"/>
  <c r="X106" i="5" s="1"/>
  <c r="Z106" i="5" s="1"/>
  <c r="N38" i="2"/>
  <c r="O38" i="2"/>
  <c r="O45" i="2"/>
  <c r="AN44" i="1" l="1"/>
  <c r="AL44" i="1"/>
  <c r="AA106" i="5"/>
  <c r="AO37" i="1"/>
  <c r="V37" i="1"/>
  <c r="AP74" i="1"/>
  <c r="O59" i="1"/>
  <c r="AM54" i="1"/>
  <c r="AF41" i="1"/>
  <c r="AJ45" i="1"/>
  <c r="N46" i="2" l="1"/>
  <c r="X42" i="1"/>
  <c r="X43" i="1"/>
  <c r="X44" i="1"/>
  <c r="X45" i="1"/>
  <c r="X46" i="1"/>
  <c r="X47" i="1"/>
  <c r="X48" i="1"/>
  <c r="X49" i="1"/>
  <c r="X50" i="1"/>
  <c r="X41" i="1"/>
  <c r="O61" i="2" l="1"/>
  <c r="N61" i="2"/>
  <c r="X109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Y91" i="8" s="1"/>
  <c r="X39" i="8"/>
  <c r="X91" i="8" s="1"/>
  <c r="W39" i="8"/>
  <c r="W91" i="8" s="1"/>
  <c r="V39" i="8"/>
  <c r="V91" i="8" s="1"/>
  <c r="U39" i="8"/>
  <c r="U91" i="8" s="1"/>
  <c r="T39" i="8"/>
  <c r="T91" i="8" s="1"/>
  <c r="S39" i="8"/>
  <c r="R39" i="8"/>
  <c r="R91" i="8" s="1"/>
  <c r="Q39" i="8"/>
  <c r="Q91" i="8" s="1"/>
  <c r="P39" i="8"/>
  <c r="O39" i="8"/>
  <c r="O91" i="8" s="1"/>
  <c r="N39" i="8"/>
  <c r="N91" i="8" s="1"/>
  <c r="M39" i="8"/>
  <c r="M91" i="8" s="1"/>
  <c r="K39" i="8"/>
  <c r="J39" i="8"/>
  <c r="I39" i="8"/>
  <c r="I91" i="8" s="1"/>
  <c r="H39" i="8"/>
  <c r="H91" i="8" s="1"/>
  <c r="G39" i="8"/>
  <c r="G91" i="8" s="1"/>
  <c r="F39" i="8"/>
  <c r="E39" i="8"/>
  <c r="D39" i="8"/>
  <c r="P91" i="8" l="1"/>
  <c r="CL39" i="8"/>
  <c r="CK39" i="8"/>
  <c r="BY39" i="8"/>
  <c r="BU39" i="8"/>
  <c r="CP39" i="8"/>
  <c r="CG39" i="8"/>
  <c r="CC39" i="8"/>
  <c r="BX39" i="8"/>
  <c r="BS39" i="8"/>
  <c r="BO39" i="8"/>
  <c r="BK39" i="8"/>
  <c r="BG39" i="8"/>
  <c r="BC39" i="8"/>
  <c r="AY39" i="8"/>
  <c r="AU39" i="8"/>
  <c r="AQ39" i="8"/>
  <c r="AM39" i="8"/>
  <c r="AI39" i="8"/>
  <c r="CO39" i="8"/>
  <c r="CJ39" i="8"/>
  <c r="CB39" i="8"/>
  <c r="BN39" i="8"/>
  <c r="BF39" i="8"/>
  <c r="AX39" i="8"/>
  <c r="AP39" i="8"/>
  <c r="AH39" i="8"/>
  <c r="BZ39" i="8"/>
  <c r="BT39" i="8"/>
  <c r="AZ39" i="8"/>
  <c r="AR39" i="8"/>
  <c r="CF39" i="8"/>
  <c r="BW39" i="8"/>
  <c r="BR39" i="8"/>
  <c r="BJ39" i="8"/>
  <c r="BB39" i="8"/>
  <c r="AT39" i="8"/>
  <c r="AL39" i="8"/>
  <c r="CM39" i="8"/>
  <c r="BL39" i="8"/>
  <c r="BH39" i="8"/>
  <c r="AV39" i="8"/>
  <c r="AJ39" i="8"/>
  <c r="AF39" i="8"/>
  <c r="CN39" i="8"/>
  <c r="CI39" i="8"/>
  <c r="CE39" i="8"/>
  <c r="CA39" i="8"/>
  <c r="BV39" i="8"/>
  <c r="BQ39" i="8"/>
  <c r="BM39" i="8"/>
  <c r="BI39" i="8"/>
  <c r="BE39" i="8"/>
  <c r="BA39" i="8"/>
  <c r="AW39" i="8"/>
  <c r="AS39" i="8"/>
  <c r="AO39" i="8"/>
  <c r="AK39" i="8"/>
  <c r="AG39" i="8"/>
  <c r="CD39" i="8"/>
  <c r="BP39" i="8"/>
  <c r="BD39" i="8"/>
  <c r="AN39" i="8"/>
  <c r="CH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CL60" i="8" s="1"/>
  <c r="CL37" i="8" s="1"/>
  <c r="CK60" i="8" l="1"/>
  <c r="BU60" i="8"/>
  <c r="BU37" i="8" s="1"/>
  <c r="AE84" i="8"/>
  <c r="BY60" i="8"/>
  <c r="BY37" i="8" s="1"/>
  <c r="CM60" i="8"/>
  <c r="CH60" i="8"/>
  <c r="CD60" i="8"/>
  <c r="BZ60" i="8"/>
  <c r="BT60" i="8"/>
  <c r="BP60" i="8"/>
  <c r="BL60" i="8"/>
  <c r="BH60" i="8"/>
  <c r="BD60" i="8"/>
  <c r="AZ60" i="8"/>
  <c r="AV60" i="8"/>
  <c r="AR60" i="8"/>
  <c r="AN60" i="8"/>
  <c r="AJ60" i="8"/>
  <c r="CP60" i="8"/>
  <c r="CG60" i="8"/>
  <c r="CC60" i="8"/>
  <c r="BX60" i="8"/>
  <c r="BS60" i="8"/>
  <c r="BO60" i="8"/>
  <c r="BK60" i="8"/>
  <c r="BG60" i="8"/>
  <c r="BC60" i="8"/>
  <c r="AY60" i="8"/>
  <c r="AU60" i="8"/>
  <c r="AQ60" i="8"/>
  <c r="AM60" i="8"/>
  <c r="AI60" i="8"/>
  <c r="CO60" i="8"/>
  <c r="CJ60" i="8"/>
  <c r="CF60" i="8"/>
  <c r="CB60" i="8"/>
  <c r="BW60" i="8"/>
  <c r="BR60" i="8"/>
  <c r="BN60" i="8"/>
  <c r="BJ60" i="8"/>
  <c r="BF60" i="8"/>
  <c r="BB60" i="8"/>
  <c r="AX60" i="8"/>
  <c r="AT60" i="8"/>
  <c r="AP60" i="8"/>
  <c r="AL60" i="8"/>
  <c r="AH60" i="8"/>
  <c r="CN60" i="8"/>
  <c r="CI60" i="8"/>
  <c r="CE60" i="8"/>
  <c r="CA60" i="8"/>
  <c r="BV60" i="8"/>
  <c r="BQ60" i="8"/>
  <c r="BM60" i="8"/>
  <c r="BI60" i="8"/>
  <c r="BE60" i="8"/>
  <c r="BA60" i="8"/>
  <c r="AW60" i="8"/>
  <c r="AS60" i="8"/>
  <c r="AO60" i="8"/>
  <c r="AK60" i="8"/>
  <c r="AG60" i="8"/>
  <c r="O29" i="2"/>
  <c r="O4" i="2"/>
  <c r="O6" i="2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O23" i="2" l="1"/>
  <c r="O8" i="2" l="1"/>
  <c r="O10" i="2"/>
  <c r="O13" i="2"/>
  <c r="O14" i="2"/>
  <c r="O17" i="2"/>
  <c r="O18" i="2"/>
  <c r="O19" i="2"/>
  <c r="O20" i="2"/>
  <c r="O25" i="2"/>
  <c r="O26" i="2"/>
  <c r="O27" i="2"/>
  <c r="O28" i="2"/>
  <c r="O30" i="2"/>
  <c r="O31" i="2"/>
  <c r="X85" i="5" s="1"/>
  <c r="O32" i="2"/>
  <c r="O33" i="2"/>
  <c r="O35" i="2"/>
  <c r="X103" i="5"/>
  <c r="O41" i="2"/>
  <c r="O42" i="2"/>
  <c r="O43" i="2"/>
  <c r="O48" i="2"/>
  <c r="O49" i="2"/>
  <c r="O50" i="2"/>
  <c r="O51" i="2"/>
  <c r="O52" i="2"/>
  <c r="O53" i="2"/>
  <c r="O54" i="2"/>
  <c r="O55" i="2"/>
  <c r="O56" i="2"/>
  <c r="O59" i="2"/>
  <c r="O60" i="2"/>
  <c r="O62" i="2"/>
  <c r="O5" i="2"/>
  <c r="O7" i="2"/>
  <c r="J180" i="5" l="1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W81" i="8"/>
  <c r="X87" i="8"/>
  <c r="L71" i="2"/>
  <c r="N32" i="2"/>
  <c r="AF42" i="1"/>
  <c r="O64" i="1" s="1"/>
  <c r="Z85" i="5" l="1"/>
  <c r="Y85" i="5"/>
  <c r="Z81" i="8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F86" i="8"/>
  <c r="K85" i="8"/>
  <c r="V84" i="8"/>
  <c r="W85" i="8"/>
  <c r="P86" i="8"/>
  <c r="Z86" i="8"/>
  <c r="U87" i="8"/>
  <c r="AE87" i="8"/>
  <c r="Y88" i="8"/>
  <c r="P89" i="8"/>
  <c r="Z89" i="8"/>
  <c r="T90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1" i="5"/>
  <c r="Y97" i="5"/>
  <c r="Y169" i="5"/>
  <c r="Y148" i="5"/>
  <c r="Y88" i="5"/>
  <c r="Y109" i="5"/>
  <c r="Y145" i="5"/>
  <c r="Y166" i="5"/>
  <c r="Y178" i="5"/>
  <c r="Y157" i="5"/>
  <c r="Y82" i="5"/>
  <c r="Y103" i="5"/>
  <c r="Y163" i="5"/>
  <c r="Y175" i="5"/>
  <c r="Y154" i="5"/>
  <c r="Y94" i="5"/>
  <c r="Y100" i="5"/>
  <c r="Y160" i="5"/>
  <c r="Y172" i="5"/>
  <c r="Y151" i="5"/>
  <c r="Y115" i="5"/>
  <c r="Y118" i="5"/>
  <c r="Y121" i="5"/>
  <c r="Y127" i="5"/>
  <c r="Y130" i="5"/>
  <c r="Y133" i="5"/>
  <c r="Y136" i="5"/>
  <c r="Y139" i="5"/>
  <c r="Y142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K71" i="2" l="1"/>
  <c r="G71" i="2"/>
  <c r="E71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AA85" i="5" s="1"/>
  <c r="N33" i="2"/>
  <c r="N34" i="2"/>
  <c r="N35" i="2"/>
  <c r="N36" i="2"/>
  <c r="N41" i="2"/>
  <c r="N42" i="2"/>
  <c r="N43" i="2"/>
  <c r="N45" i="2"/>
  <c r="N47" i="2"/>
  <c r="N48" i="2"/>
  <c r="N49" i="2"/>
  <c r="N50" i="2"/>
  <c r="N51" i="2"/>
  <c r="N52" i="2"/>
  <c r="N53" i="2"/>
  <c r="N54" i="2"/>
  <c r="N55" i="2"/>
  <c r="N56" i="2"/>
  <c r="N57" i="2"/>
  <c r="N59" i="2"/>
  <c r="N60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AB47" i="1" l="1"/>
  <c r="Z47" i="1"/>
  <c r="Z44" i="1"/>
  <c r="AB44" i="1"/>
  <c r="Z46" i="1"/>
  <c r="AB41" i="1"/>
  <c r="Z41" i="1"/>
  <c r="AB50" i="1"/>
  <c r="Z49" i="1"/>
  <c r="AB43" i="1"/>
  <c r="AX43" i="1" s="1"/>
  <c r="AB48" i="1"/>
  <c r="AB45" i="1"/>
  <c r="AX45" i="1" s="1"/>
  <c r="AB42" i="1"/>
  <c r="AM62" i="1" s="1"/>
  <c r="X88" i="5"/>
  <c r="X40" i="5"/>
  <c r="AB49" i="1"/>
  <c r="N71" i="2"/>
  <c r="O71" i="2"/>
  <c r="X121" i="5"/>
  <c r="X163" i="5"/>
  <c r="X55" i="5"/>
  <c r="X52" i="5"/>
  <c r="Z52" i="5" s="1"/>
  <c r="AA52" i="5" s="1"/>
  <c r="X169" i="5"/>
  <c r="X13" i="5"/>
  <c r="Z13" i="5" s="1"/>
  <c r="X127" i="5"/>
  <c r="X49" i="5"/>
  <c r="X154" i="5"/>
  <c r="X82" i="5"/>
  <c r="X34" i="5"/>
  <c r="X4" i="5"/>
  <c r="Z4" i="5" s="1"/>
  <c r="X7" i="5"/>
  <c r="Z7" i="5" s="1"/>
  <c r="X100" i="5"/>
  <c r="X46" i="5"/>
  <c r="X115" i="5"/>
  <c r="X178" i="5"/>
  <c r="Z178" i="5" s="1"/>
  <c r="AA178" i="5" s="1"/>
  <c r="X151" i="5"/>
  <c r="X79" i="5"/>
  <c r="X28" i="5"/>
  <c r="X37" i="5"/>
  <c r="X160" i="5"/>
  <c r="X43" i="5"/>
  <c r="X175" i="5"/>
  <c r="X148" i="5"/>
  <c r="X76" i="5"/>
  <c r="X19" i="5"/>
  <c r="Z19" i="5" s="1"/>
  <c r="X157" i="5"/>
  <c r="X94" i="5"/>
  <c r="X58" i="5"/>
  <c r="X172" i="5"/>
  <c r="X145" i="5"/>
  <c r="X97" i="5"/>
  <c r="X61" i="5"/>
  <c r="X16" i="5"/>
  <c r="Z16" i="5" s="1"/>
  <c r="X31" i="5"/>
  <c r="X142" i="5"/>
  <c r="X73" i="5"/>
  <c r="X130" i="5"/>
  <c r="X139" i="5"/>
  <c r="X70" i="5"/>
  <c r="X166" i="5"/>
  <c r="X91" i="5"/>
  <c r="X25" i="5"/>
  <c r="X136" i="5"/>
  <c r="X67" i="5"/>
  <c r="X118" i="5"/>
  <c r="X22" i="5"/>
  <c r="X133" i="5"/>
  <c r="X64" i="5"/>
  <c r="X10" i="5"/>
  <c r="Z10" i="5" s="1"/>
  <c r="M71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3" i="5" l="1"/>
  <c r="AA73" i="5" s="1"/>
  <c r="Z25" i="5"/>
  <c r="AA25" i="5" s="1"/>
  <c r="Z142" i="5"/>
  <c r="AA142" i="5" s="1"/>
  <c r="Z94" i="5"/>
  <c r="AA94" i="5" s="1"/>
  <c r="Z43" i="5"/>
  <c r="AA43" i="5" s="1"/>
  <c r="Z121" i="5"/>
  <c r="AA121" i="5" s="1"/>
  <c r="Z91" i="5"/>
  <c r="AA91" i="5" s="1"/>
  <c r="Z31" i="5"/>
  <c r="AA31" i="5" s="1"/>
  <c r="Z115" i="5"/>
  <c r="AA115" i="5" s="1"/>
  <c r="Z49" i="5"/>
  <c r="AA49" i="5" s="1"/>
  <c r="Z127" i="5"/>
  <c r="AA127" i="5" s="1"/>
  <c r="Z133" i="5"/>
  <c r="AA133" i="5" s="1"/>
  <c r="Z70" i="5"/>
  <c r="AA70" i="5" s="1"/>
  <c r="Z61" i="5"/>
  <c r="AA61" i="5" s="1"/>
  <c r="Z37" i="5"/>
  <c r="AA37" i="5" s="1"/>
  <c r="Z100" i="5"/>
  <c r="AA100" i="5" s="1"/>
  <c r="Z139" i="5"/>
  <c r="AA139" i="5" s="1"/>
  <c r="Z97" i="5"/>
  <c r="AA97" i="5" s="1"/>
  <c r="Z76" i="5"/>
  <c r="AA76" i="5" s="1"/>
  <c r="Z28" i="5"/>
  <c r="AA28" i="5" s="1"/>
  <c r="Z169" i="5"/>
  <c r="AA169" i="5" s="1"/>
  <c r="Z22" i="5"/>
  <c r="AA22" i="5" s="1"/>
  <c r="Z118" i="5"/>
  <c r="AA118" i="5" s="1"/>
  <c r="Z103" i="5"/>
  <c r="AA103" i="5" s="1"/>
  <c r="Z79" i="5"/>
  <c r="AA79" i="5" s="1"/>
  <c r="Z40" i="5"/>
  <c r="AA40" i="5" s="1"/>
  <c r="Z166" i="5"/>
  <c r="AA166" i="5" s="1"/>
  <c r="Z67" i="5"/>
  <c r="AA67" i="5" s="1"/>
  <c r="Z130" i="5"/>
  <c r="AA130" i="5" s="1"/>
  <c r="Z172" i="5"/>
  <c r="AA172" i="5" s="1"/>
  <c r="Z109" i="5"/>
  <c r="AA109" i="5" s="1"/>
  <c r="Z34" i="5"/>
  <c r="AA34" i="5" s="1"/>
  <c r="Z55" i="5"/>
  <c r="AA55" i="5" s="1"/>
  <c r="Z88" i="5"/>
  <c r="AA88" i="5" s="1"/>
  <c r="Z64" i="5"/>
  <c r="AA64" i="5" s="1"/>
  <c r="Z46" i="5"/>
  <c r="AA46" i="5" s="1"/>
  <c r="Z136" i="5"/>
  <c r="AA136" i="5" s="1"/>
  <c r="Z58" i="5"/>
  <c r="AA58" i="5" s="1"/>
  <c r="Z175" i="5"/>
  <c r="AA175" i="5" s="1"/>
  <c r="Z82" i="5"/>
  <c r="AA82" i="5" s="1"/>
  <c r="Z163" i="5"/>
  <c r="AA163" i="5" s="1"/>
  <c r="Z154" i="5"/>
  <c r="AA154" i="5" s="1"/>
  <c r="Z157" i="5"/>
  <c r="AA157" i="5" s="1"/>
  <c r="Z160" i="5"/>
  <c r="AA160" i="5" s="1"/>
  <c r="Z145" i="5"/>
  <c r="AA145" i="5" s="1"/>
  <c r="Z148" i="5"/>
  <c r="AA148" i="5" s="1"/>
  <c r="Z151" i="5"/>
  <c r="AA151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B37" i="1"/>
  <c r="C37" i="1"/>
  <c r="Y85" i="8"/>
  <c r="AB82" i="8"/>
  <c r="AB79" i="8"/>
  <c r="AB86" i="8"/>
  <c r="AL46" i="1"/>
  <c r="AV46" i="1" s="1"/>
  <c r="AX44" i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81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81" i="5"/>
  <c r="Z51" i="1"/>
  <c r="Z181" i="5"/>
  <c r="Y181" i="5"/>
  <c r="AV51" i="1" l="1"/>
  <c r="AZ51" i="1"/>
  <c r="BD49" i="1"/>
  <c r="BF49" i="1" s="1"/>
  <c r="AP51" i="1"/>
  <c r="BF51" i="1" l="1"/>
  <c r="BI49" i="1"/>
  <c r="BD51" i="1"/>
  <c r="D71" i="2"/>
  <c r="AH37" i="8"/>
  <c r="BC37" i="8"/>
  <c r="BG37" i="8"/>
  <c r="AV37" i="8"/>
  <c r="AX37" i="8"/>
  <c r="BJ37" i="8"/>
  <c r="BO37" i="8"/>
  <c r="BP37" i="8"/>
  <c r="AY37" i="8"/>
  <c r="AW37" i="8"/>
  <c r="BW37" i="8"/>
  <c r="AT37" i="8"/>
  <c r="CC37" i="8"/>
  <c r="CB37" i="8"/>
  <c r="CG37" i="8"/>
  <c r="CM37" i="8"/>
  <c r="AN37" i="8"/>
  <c r="BT37" i="8"/>
  <c r="BI37" i="8"/>
  <c r="BF37" i="8"/>
  <c r="BE37" i="8"/>
  <c r="BQ37" i="8"/>
  <c r="CA37" i="8"/>
  <c r="CF37" i="8"/>
  <c r="CP37" i="8"/>
  <c r="BB37" i="8"/>
  <c r="AG37" i="8"/>
  <c r="CD37" i="8"/>
  <c r="AI37" i="8"/>
  <c r="BN37" i="8"/>
  <c r="BX37" i="8"/>
  <c r="AL37" i="8"/>
  <c r="AM37" i="8"/>
  <c r="D79" i="8"/>
  <c r="CI37" i="8"/>
  <c r="AQ37" i="8"/>
  <c r="BM37" i="8"/>
  <c r="BL37" i="8"/>
  <c r="BH37" i="8"/>
  <c r="CK37" i="8"/>
  <c r="BZ37" i="8"/>
  <c r="AK37" i="8"/>
  <c r="AO37" i="8"/>
  <c r="AR37" i="8"/>
  <c r="AS37" i="8"/>
  <c r="CJ37" i="8"/>
  <c r="BK37" i="8"/>
  <c r="BV37" i="8"/>
  <c r="AJ37" i="8"/>
  <c r="BD37" i="8"/>
  <c r="BR37" i="8"/>
  <c r="CH37" i="8"/>
  <c r="AF37" i="8"/>
  <c r="AU37" i="8"/>
  <c r="AZ37" i="8"/>
  <c r="BA37" i="8"/>
  <c r="AP37" i="8"/>
  <c r="BS37" i="8"/>
  <c r="CN37" i="8"/>
  <c r="CE37" i="8"/>
  <c r="CO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<sst xmlns="http://schemas.openxmlformats.org/spreadsheetml/2006/main" count="3251" uniqueCount="533">
  <si>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</si>
  <si>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</si>
  <si>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</si>
  <si>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</si>
  <si>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</si>
  <si>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</si>
  <si>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</si>
  <si>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</si>
  <si>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</si>
  <si>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</si>
  <si>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</si>
  <si>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</si>
  <si>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</si>
  <si>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</si>
  <si>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</si>
  <si>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</si>
  <si>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</si>
  <si>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</si>
  <si>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</si>
  <si>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</si>
  <si>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</si>
  <si>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</si>
  <si>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</si>
  <si>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</si>
  <si>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</si>
  <si>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</si>
  <si>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</si>
  <si>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</si>
  <si>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</si>
  <si>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</si>
  <si>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</si>
  <si>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</si>
  <si>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</si>
  <si>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</si>
  <si>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</si>
  <si>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</si>
  <si>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</si>
  <si>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</si>
  <si>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</si>
  <si>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</si>
  <si>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</si>
  <si>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</si>
  <si>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</si>
  <si>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</si>
  <si>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</si>
  <si>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</si>
  <si>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</si>
  <si>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</si>
  <si>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</si>
  <si>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</si>
  <si>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</si>
  <si>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</si>
  <si>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</si>
  <si>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</si>
  <si>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</si>
  <si>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</si>
  <si>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</si>
  <si>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</si>
  <si>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</si>
  <si>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</si>
  <si>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</si>
  <si>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</si>
  <si>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</si>
  <si>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</si>
  <si>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</si>
  <si>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</si>
  <si>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</si>
  <si>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</si>
  <si>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</si>
  <si>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</si>
  <si>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</si>
  <si>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</si>
  <si>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</si>
  <si>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</si>
  <si>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</si>
  <si>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</si>
  <si>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</si>
  <si>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</si>
  <si>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</si>
  <si>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</si>
  <si>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</si>
  <si>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</si>
  <si>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</si>
  <si>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</si>
  <si>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</si>
  <si>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</si>
  <si>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</si>
  <si>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</si>
  <si>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</si>
  <si>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</si>
  <si>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</si>
  <si>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</si>
  <si>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</si>
  <si>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</si>
  <si>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</si>
  <si>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</si>
  <si>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</si>
  <si>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</si>
  <si>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</si>
  <si>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</si>
  <si>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</si>
  <si>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</si>
  <si>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</si>
  <si>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</si>
  <si>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</si>
  <si>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</si>
  <si>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</si>
  <si>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</si>
  <si>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</si>
  <si>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</si>
  <si>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</si>
  <si>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</si>
  <si>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</si>
  <si>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</si>
  <si>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</si>
  <si>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</si>
  <si>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</si>
  <si>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</si>
  <si>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</si>
  <si>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</si>
  <si>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</si>
  <si>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</si>
  <si>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</si>
  <si>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</si>
  <si>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</si>
  <si>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</si>
  <si>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</si>
  <si>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</si>
  <si>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</si>
  <si>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</si>
  <si>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</si>
  <si>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</si>
  <si>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</si>
  <si>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</si>
  <si>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</si>
  <si>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</si>
  <si>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</si>
  <si>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</si>
  <si>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</si>
  <si>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</si>
  <si>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</si>
  <si>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</si>
  <si>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</si>
  <si>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</si>
  <si>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</si>
  <si>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</si>
  <si>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</si>
  <si>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</si>
  <si>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</si>
  <si>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</si>
  <si>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</si>
  <si>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</si>
  <si>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</si>
  <si>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</si>
  <si>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</si>
  <si>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</si>
  <si>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</si>
  <si>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</si>
  <si>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</si>
  <si>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</si>
  <si>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</si>
  <si>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</si>
  <si>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</si>
  <si>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</si>
  <si>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</si>
  <si>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</si>
  <si>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</si>
  <si>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</si>
  <si>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</si>
  <si>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</si>
  <si>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</si>
  <si>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</si>
  <si>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</si>
  <si>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</si>
  <si>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</si>
  <si>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</si>
  <si>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</si>
  <si>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</si>
  <si>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</si>
  <si>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</si>
  <si>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</si>
  <si>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</si>
  <si>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</si>
  <si>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</si>
  <si>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</si>
  <si>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</si>
  <si>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</si>
  <si>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</si>
  <si>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</si>
  <si>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</si>
  <si>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</si>
  <si>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</si>
  <si>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</si>
  <si>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</si>
  <si>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</si>
  <si>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</si>
  <si>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</si>
  <si>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</si>
  <si>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</si>
  <si>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</si>
  <si>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</si>
  <si>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</si>
  <si>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</si>
  <si>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</si>
  <si>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</si>
  <si>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</si>
  <si>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</si>
  <si>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</si>
  <si>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</si>
  <si>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</si>
  <si>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</si>
  <si>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</si>
  <si>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</si>
  <si>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</si>
  <si>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</si>
  <si>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</si>
  <si>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</si>
  <si>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</si>
  <si>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</si>
  <si>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</si>
  <si>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D5</t>
  </si>
  <si>
    <t>HỌC KÌ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</si>
  <si>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</si>
  <si>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</si>
  <si>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</si>
  <si>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</si>
  <si>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</si>
  <si>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</si>
  <si>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</si>
  <si>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</si>
  <si>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</si>
  <si>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</si>
  <si>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</si>
  <si>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</si>
  <si>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</si>
  <si>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</si>
  <si>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</si>
  <si>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</si>
  <si>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</si>
  <si>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</si>
  <si>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</si>
  <si>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</si>
  <si>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</si>
  <si>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</si>
  <si>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</si>
  <si>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</si>
  <si>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</si>
  <si>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</si>
  <si>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</si>
  <si>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</si>
  <si>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</si>
  <si>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</si>
  <si>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</si>
  <si>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</si>
  <si>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</si>
  <si>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</si>
  <si>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</si>
  <si>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</si>
  <si>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</si>
  <si>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</si>
  <si>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</si>
  <si>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</si>
  <si>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</si>
  <si>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</si>
  <si>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</si>
  <si>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</si>
  <si>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</si>
  <si>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</si>
  <si>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</si>
  <si>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</si>
  <si>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</si>
  <si>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</si>
  <si>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</si>
  <si>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</si>
  <si>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</si>
  <si>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</si>
  <si>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</si>
  <si>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</si>
  <si>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</si>
  <si>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</si>
  <si>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</si>
  <si>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</si>
  <si>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</si>
  <si>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</si>
  <si>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</si>
  <si>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</si>
  <si>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</si>
  <si>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</si>
  <si>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</si>
  <si>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</si>
  <si>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</si>
  <si>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</si>
  <si>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</si>
  <si>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</si>
  <si>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TIN HỌC 2</t>
  </si>
  <si>
    <t>TIN HỌC 3</t>
  </si>
  <si>
    <t>THPT HUỲNH THÚC KHÁNG</t>
  </si>
  <si>
    <t>VP
ĐẢNG BỘ</t>
  </si>
  <si>
    <t>x</t>
  </si>
  <si>
    <t>tiết</t>
  </si>
  <si>
    <t>Lớp</t>
  </si>
  <si>
    <t>7h00'-7h45'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</si>
  <si>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</si>
  <si>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</si>
  <si>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</si>
  <si>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</si>
  <si>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</si>
  <si>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</si>
  <si>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</si>
  <si>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</si>
  <si>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</si>
  <si>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</si>
  <si>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</si>
  <si>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</si>
  <si>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</si>
  <si>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</si>
  <si>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</si>
  <si>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</si>
  <si>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</si>
  <si>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</si>
  <si>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</si>
  <si>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</si>
  <si>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</si>
  <si>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</si>
  <si>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</si>
  <si>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</si>
  <si>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</si>
  <si>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</si>
  <si>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</si>
  <si>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</si>
  <si>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</si>
  <si>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</si>
  <si>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</si>
  <si>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</si>
  <si>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</si>
  <si>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</si>
  <si>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</si>
  <si>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</si>
  <si>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</si>
  <si>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</si>
  <si>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</si>
  <si>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</si>
  <si>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</si>
  <si>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</si>
  <si>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</si>
  <si>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</si>
  <si>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</si>
  <si>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</si>
  <si>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</si>
  <si>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</si>
  <si>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</si>
  <si>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</si>
  <si>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</si>
  <si>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</si>
  <si>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</si>
  <si>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</si>
  <si>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</si>
  <si>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</si>
  <si>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</si>
  <si>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</si>
  <si>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</si>
  <si>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</si>
  <si>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</si>
  <si>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</si>
  <si>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</si>
  <si>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</si>
  <si>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</si>
  <si>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TN-HN/K2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</si>
  <si>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</si>
  <si>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</si>
  <si>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</si>
  <si>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</si>
  <si>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</si>
  <si>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</si>
  <si>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</si>
  <si>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</si>
  <si>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</si>
  <si>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</si>
  <si>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</si>
  <si>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</si>
  <si>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</si>
  <si>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</si>
  <si>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</si>
  <si>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</si>
  <si>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</si>
  <si>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</si>
  <si>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</si>
  <si>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</si>
  <si>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</si>
  <si>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</si>
  <si>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</si>
  <si>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</si>
  <si>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</si>
  <si>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</si>
  <si>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</si>
  <si>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</si>
  <si>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</si>
  <si>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</si>
  <si>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</si>
  <si>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</si>
  <si>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</si>
  <si>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</si>
  <si>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</si>
  <si>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</si>
  <si>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</si>
  <si>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</si>
  <si>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</si>
  <si>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</si>
  <si>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</si>
  <si>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</si>
  <si>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</si>
  <si>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</si>
  <si>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</si>
  <si>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</si>
  <si>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</si>
  <si>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</si>
  <si>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</si>
  <si>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</si>
  <si>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</si>
  <si>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</si>
  <si>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</si>
  <si>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</si>
  <si>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</si>
  <si>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</si>
  <si>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</si>
  <si>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</si>
  <si>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</si>
  <si>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</si>
  <si>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Thừa giờ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</si>
  <si>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</si>
  <si>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</si>
  <si>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</si>
  <si>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</si>
  <si>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</si>
  <si>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</si>
  <si>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</si>
  <si>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</si>
  <si>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</si>
  <si>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</si>
  <si>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</si>
  <si>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</si>
  <si>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</si>
  <si>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</si>
  <si>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STT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</si>
  <si>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</si>
  <si>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</si>
  <si>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</si>
  <si>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</si>
  <si>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</si>
  <si>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</si>
  <si>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</si>
  <si>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</si>
  <si>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 xml:space="preserve">LỊCH SỬ </t>
  </si>
  <si>
    <t>GDKT&amp;PL</t>
  </si>
  <si>
    <t>Phònghọc</t>
  </si>
  <si>
    <t>Thờigian</t>
  </si>
  <si>
    <t>Họvàtên</t>
  </si>
  <si>
    <t>Tiếnganh</t>
  </si>
  <si>
    <t xml:space="preserve">12A6 </t>
  </si>
  <si>
    <t>BUỔI CHIỀU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</si>
  <si>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</si>
  <si>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</si>
  <si>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</si>
  <si>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</si>
  <si>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</si>
  <si>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</si>
  <si>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</si>
  <si>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Shdc</t>
  </si>
  <si>
    <t xml:space="preserve"> </t>
  </si>
  <si>
    <t>BUỔI SÁNG</t>
  </si>
  <si>
    <t>Phạm Thị Như Ngà</t>
  </si>
  <si>
    <t>Thân Thị Minh Phương</t>
  </si>
  <si>
    <t>25-26</t>
  </si>
  <si>
    <t>12A10</t>
  </si>
  <si>
    <t>DANH SÁCH PHÂN CÔNG GIÁO VIÊN CHỦ NHIỆM NĂM HỌC 2025-2026</t>
  </si>
  <si>
    <t>Toán, Hóa, Địa</t>
  </si>
  <si>
    <t>Vật lí, Hóa học, Địa lí, CnNN</t>
  </si>
  <si>
    <t>Vật lí, Địa lí, Tin học, CnCN</t>
  </si>
  <si>
    <t>Hóa, KT&amp;PL, Tin, CnCN</t>
  </si>
  <si>
    <t>Vật lí, Hóa học, Sinh học, CnCN</t>
  </si>
  <si>
    <t>Bùi Thị Thùy Dương</t>
  </si>
  <si>
    <t>Hoàng Minh Khanh</t>
  </si>
  <si>
    <t>Nguyễn Thị Quỳnh Uyên</t>
  </si>
  <si>
    <t>Nguyễn Thể Bình Viên</t>
  </si>
  <si>
    <t>Toán-tin</t>
  </si>
  <si>
    <t>Lý - CN</t>
  </si>
  <si>
    <t>Hóa</t>
  </si>
  <si>
    <t>Ngữ văn</t>
  </si>
  <si>
    <t>Hồ Sỹ Kiên</t>
  </si>
  <si>
    <t>Lịch sử</t>
  </si>
  <si>
    <t>Thể dục</t>
  </si>
  <si>
    <t>Nguyễn Hồ Như Quỳnh</t>
  </si>
  <si>
    <t>(kèm theo Quyết định số     /QĐ-HTK ngày   /  /2025)</t>
  </si>
  <si>
    <t>THỜI KHÓA BIỂU - NĂM HỌC 2025-2026</t>
  </si>
  <si>
    <t>Lâm Thị Ngọc Lan</t>
  </si>
  <si>
    <t>Vật lí, Địa lí, KT&amp;PL, CnCN</t>
  </si>
  <si>
    <t>I</t>
  </si>
  <si>
    <t>2025-2026</t>
  </si>
  <si>
    <t>Sg4</t>
  </si>
  <si>
    <t>SƠ ĐỒ TRƯỜNG THPT HUỲNH THÚC KHÁNG NĂM HỌC 2025-2026</t>
  </si>
  <si>
    <t>19-20</t>
  </si>
  <si>
    <t>LAB NGOẠI NGỮ</t>
  </si>
  <si>
    <t>TƯỢNG ĐÀI
CHÍ SĨ HUỲNH THÚC KHÁNG</t>
  </si>
  <si>
    <t>NGOẠI NGỮ</t>
  </si>
  <si>
    <t>THƯ KÝ HỘI ĐỒNG</t>
  </si>
  <si>
    <t>Trịnh Thị Diệu Huyền</t>
  </si>
  <si>
    <t>10A8 (Từ tuần 24)</t>
  </si>
  <si>
    <t>12a9</t>
  </si>
  <si>
    <t>12a10</t>
  </si>
  <si>
    <t>Nguyễn Hồ Như Quỳnh</t>
  </si>
  <si>
    <r>
      <rPr>
        <i/>
        <sz val="8"/>
        <color rgb="FFFF0000"/>
        <rFont val="Times New Roman"/>
        <family val="1"/>
      </rPr>
      <t>Nguyễn</t>
    </r>
    <r>
      <rPr>
        <i/>
        <sz val="8"/>
        <color rgb="FF000099"/>
        <rFont val="Times New Roman"/>
        <family val="1"/>
      </rPr>
      <t xml:space="preserve"> </t>
    </r>
    <r>
      <rPr>
        <i/>
        <sz val="8"/>
        <color rgb="FFFF0000"/>
        <rFont val="Times New Roman"/>
        <family val="1"/>
      </rPr>
      <t>Hà Nhị</t>
    </r>
  </si>
  <si>
    <t>Áp dụng từ tuần học thứ 01, ngày 05/09/2025</t>
  </si>
  <si>
    <t>Khối 10, 12 dạy HĐTN vào sáng thứ 7 các tuần 2,4,6, …</t>
  </si>
  <si>
    <t>QP&amp;AN</t>
  </si>
  <si>
    <t>TIN HỌC 1</t>
  </si>
  <si>
    <t>Nguyễn Hà Nhị</t>
  </si>
  <si>
    <t>Nguyễn Thùy Dương</t>
  </si>
  <si>
    <t>03/11//2025</t>
  </si>
  <si>
    <t xml:space="preserve"> H5</t>
  </si>
  <si>
    <t xml:space="preserve"> Sn4</t>
  </si>
  <si>
    <t xml:space="preserve"> Tt6</t>
  </si>
  <si>
    <t xml:space="preserve"> Lc3</t>
  </si>
  <si>
    <t xml:space="preserve"> Lc8</t>
  </si>
  <si>
    <t xml:space="preserve"> V3</t>
  </si>
  <si>
    <t xml:space="preserve"> Tt7</t>
  </si>
  <si>
    <t xml:space="preserve"> G3</t>
  </si>
  <si>
    <t xml:space="preserve"> V1</t>
  </si>
  <si>
    <t xml:space="preserve"> Sn3</t>
  </si>
  <si>
    <t xml:space="preserve"> V4</t>
  </si>
  <si>
    <t>Sh</t>
  </si>
  <si>
    <t>Giáo dục địa phương khối 10,11,12 bộ môn Văn</t>
  </si>
  <si>
    <t>Áp dụng từ tuần học thứ 10, ngày 10/11/2025</t>
  </si>
  <si>
    <t xml:space="preserve">PHÓ HIỆU TRƯỞNG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</si>
</sst>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1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9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i/>
      <sz val="12"/>
      <color rgb="FF000099"/>
      <name val="Times New Roman"/>
      <family val="1"/>
    </font>
    <font>
      <b/>
      <sz val="10"/>
      <color theme="0"/>
      <name val="Times New Roman"/>
      <family val="1"/>
    </font>
    <font>
      <b/>
      <sz val="13"/>
      <color rgb="FFFF0000"/>
      <name val="Times New Roman"/>
      <family val="1"/>
    </font>
    <font>
      <b/>
      <sz val="7"/>
      <color rgb="FF000099"/>
      <name val="Times New Roman"/>
      <family val="1"/>
    </font>
    <font>
      <sz val="12"/>
      <color rgb="FFFF0000"/>
      <name val="Times New Roman"/>
      <family val="1"/>
    </font>
    <font>
      <sz val="13"/>
      <color rgb="FF000099"/>
      <name val="Times New Roman"/>
      <family val="1"/>
    </font>
    <font>
      <b/>
      <sz val="13"/>
      <color rgb="FF000099"/>
      <name val="Times New Roman"/>
      <family val="1"/>
    </font>
    <font>
      <sz val="12"/>
      <color rgb="FF000099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8"/>
      <color rgb="FFC00000"/>
      <name val="Times New Roman"/>
      <family val="1"/>
    </font>
    <font>
      <b/>
      <sz val="10"/>
      <color rgb="FF000000"/>
      <name val="Calibri"/>
      <family val="2"/>
    </font>
  </fonts>
  <fills count="10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67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68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69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0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67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2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4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17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3" fillId="0" borderId="0" xfId="0" applyFont="1"/>
    <xf numFmtId="0" fontId="104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03" fillId="76" borderId="0" xfId="0" applyFont="1" applyFill="1"/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5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6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9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4" fillId="0" borderId="0" xfId="0" applyFont="1"/>
    <xf numFmtId="0" fontId="103" fillId="79" borderId="0" xfId="0" applyFont="1" applyFill="1"/>
    <xf numFmtId="0" fontId="20" fillId="79" borderId="0" xfId="0" applyFont="1" applyFill="1" applyAlignment="1">
      <alignment horizontal="center" vertical="center"/>
    </xf>
    <xf numFmtId="0" fontId="101" fillId="79" borderId="0" xfId="0" applyFont="1" applyFill="1"/>
    <xf numFmtId="0" fontId="124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97" fillId="79" borderId="46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8" fillId="0" borderId="0" xfId="0" applyFont="1"/>
    <xf numFmtId="0" fontId="130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07" xfId="0" applyBorder="1"/>
    <xf numFmtId="0" fontId="0" fillId="0" borderId="108" xfId="0" applyBorder="1"/>
    <xf numFmtId="0" fontId="0" fillId="82" borderId="109" xfId="0" applyFill="1" applyBorder="1"/>
    <xf numFmtId="0" fontId="0" fillId="82" borderId="38" xfId="0" applyFill="1" applyBorder="1"/>
    <xf numFmtId="0" fontId="0" fillId="82" borderId="110" xfId="0" applyFill="1" applyBorder="1"/>
    <xf numFmtId="0" fontId="97" fillId="15" borderId="10" xfId="0" applyFont="1" applyFill="1" applyBorder="1" applyAlignment="1">
      <alignment horizontal="center"/>
    </xf>
    <xf numFmtId="1" fontId="114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60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8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4" fillId="47" borderId="10" xfId="0" applyFont="1" applyFill="1" applyBorder="1" applyAlignment="1">
      <alignment horizontal="center" vertical="center" shrinkToFit="1"/>
    </xf>
    <xf numFmtId="0" fontId="133" fillId="75" borderId="15" xfId="0" applyFont="1" applyFill="1" applyBorder="1"/>
    <xf numFmtId="0" fontId="115" fillId="0" borderId="0" xfId="0" applyFont="1"/>
    <xf numFmtId="0" fontId="133" fillId="0" borderId="0" xfId="0" applyFont="1"/>
    <xf numFmtId="0" fontId="135" fillId="0" borderId="0" xfId="0" applyFont="1"/>
    <xf numFmtId="0" fontId="136" fillId="0" borderId="0" xfId="0" applyFont="1"/>
    <xf numFmtId="0" fontId="134" fillId="0" borderId="0" xfId="0" applyFont="1"/>
    <xf numFmtId="0" fontId="117" fillId="0" borderId="0" xfId="0" applyFont="1" applyAlignment="1">
      <alignment horizontal="left" vertical="center"/>
    </xf>
    <xf numFmtId="0" fontId="97" fillId="75" borderId="55" xfId="0" applyFont="1" applyFill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0" fontId="5" fillId="71" borderId="0" xfId="0" applyFont="1" applyFill="1" applyAlignment="1">
      <alignment vertical="center"/>
    </xf>
    <xf numFmtId="0" fontId="126" fillId="87" borderId="62" xfId="0" applyFont="1" applyFill="1" applyBorder="1" applyAlignment="1">
      <alignment wrapText="1"/>
    </xf>
    <xf numFmtId="0" fontId="126" fillId="87" borderId="0" xfId="0" applyFont="1" applyFill="1" applyAlignment="1">
      <alignment wrapText="1"/>
    </xf>
    <xf numFmtId="0" fontId="126" fillId="87" borderId="39" xfId="0" applyFont="1" applyFill="1" applyBorder="1" applyAlignment="1">
      <alignment wrapText="1"/>
    </xf>
    <xf numFmtId="0" fontId="126" fillId="87" borderId="62" xfId="0" applyFont="1" applyFill="1" applyBorder="1"/>
    <xf numFmtId="0" fontId="126" fillId="87" borderId="0" xfId="0" applyFont="1" applyFill="1"/>
    <xf numFmtId="0" fontId="126" fillId="87" borderId="39" xfId="0" applyFont="1" applyFill="1" applyBorder="1"/>
    <xf numFmtId="0" fontId="128" fillId="0" borderId="0" xfId="0" applyFont="1" applyAlignment="1">
      <alignment horizontal="right"/>
    </xf>
    <xf numFmtId="0" fontId="137" fillId="71" borderId="0" xfId="0" applyFont="1" applyFill="1" applyAlignment="1">
      <alignment horizontal="center" vertical="center"/>
    </xf>
    <xf numFmtId="0" fontId="139" fillId="87" borderId="0" xfId="0" applyFont="1" applyFill="1" applyAlignment="1">
      <alignment horizontal="center" vertical="center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7" fillId="79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6" fillId="0" borderId="0" xfId="0" applyFont="1" applyAlignment="1">
      <alignment horizontal="center" wrapText="1"/>
    </xf>
    <xf numFmtId="0" fontId="116" fillId="0" borderId="0" xfId="0" applyFont="1" applyAlignment="1">
      <alignment horizontal="center" wrapText="1"/>
    </xf>
    <xf numFmtId="0" fontId="64" fillId="87" borderId="10" xfId="0" applyFont="1" applyFill="1" applyBorder="1" applyAlignment="1">
      <alignment horizontal="center" vertical="center"/>
    </xf>
    <xf numFmtId="0" fontId="65" fillId="87" borderId="10" xfId="0" applyFont="1" applyFill="1" applyBorder="1" applyAlignment="1">
      <alignment horizontal="center" vertical="center"/>
    </xf>
    <xf numFmtId="0" fontId="115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42" fillId="0" borderId="0" xfId="0" applyFont="1"/>
    <xf numFmtId="0" fontId="143" fillId="16" borderId="10" xfId="0" applyFont="1" applyFill="1" applyBorder="1" applyAlignment="1">
      <alignment horizontal="center"/>
    </xf>
    <xf numFmtId="0" fontId="143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6" fillId="16" borderId="10" xfId="0" applyFont="1" applyFill="1" applyBorder="1" applyAlignment="1">
      <alignment horizontal="center" vertical="top"/>
    </xf>
    <xf numFmtId="0" fontId="126" fillId="16" borderId="10" xfId="0" applyFont="1" applyFill="1" applyBorder="1"/>
    <xf numFmtId="0" fontId="126" fillId="7" borderId="10" xfId="0" applyFont="1" applyFill="1" applyBorder="1" applyAlignment="1">
      <alignment horizontal="center" vertical="justify"/>
    </xf>
    <xf numFmtId="0" fontId="126" fillId="7" borderId="10" xfId="0" applyFont="1" applyFill="1" applyBorder="1" applyAlignment="1">
      <alignment vertical="justify"/>
    </xf>
    <xf numFmtId="0" fontId="98" fillId="0" borderId="114" xfId="0" applyFont="1" applyBorder="1" applyAlignment="1">
      <alignment horizontal="center" vertical="center"/>
    </xf>
    <xf numFmtId="0" fontId="98" fillId="0" borderId="114" xfId="0" applyFont="1" applyBorder="1" applyAlignment="1">
      <alignment horizontal="center" vertical="center" shrinkToFit="1"/>
    </xf>
    <xf numFmtId="0" fontId="114" fillId="89" borderId="14" xfId="0" applyFont="1" applyFill="1" applyBorder="1" applyAlignment="1">
      <alignment horizontal="center" vertical="center"/>
    </xf>
    <xf numFmtId="0" fontId="114" fillId="90" borderId="14" xfId="0" applyFont="1" applyFill="1" applyBorder="1" applyAlignment="1">
      <alignment horizontal="center" vertical="center"/>
    </xf>
    <xf numFmtId="0" fontId="114" fillId="89" borderId="12" xfId="0" applyFont="1" applyFill="1" applyBorder="1" applyAlignment="1">
      <alignment horizontal="center" vertical="center"/>
    </xf>
    <xf numFmtId="0" fontId="97" fillId="89" borderId="12" xfId="0" applyFont="1" applyFill="1" applyBorder="1" applyAlignment="1">
      <alignment horizontal="center" vertical="center"/>
    </xf>
    <xf numFmtId="0" fontId="114" fillId="90" borderId="12" xfId="0" applyFont="1" applyFill="1" applyBorder="1" applyAlignment="1">
      <alignment horizontal="center" vertical="center"/>
    </xf>
    <xf numFmtId="0" fontId="97" fillId="90" borderId="12" xfId="0" applyFont="1" applyFill="1" applyBorder="1" applyAlignment="1">
      <alignment horizontal="center" vertical="center"/>
    </xf>
    <xf numFmtId="0" fontId="114" fillId="91" borderId="12" xfId="0" applyFont="1" applyFill="1" applyBorder="1" applyAlignment="1">
      <alignment horizontal="center" vertical="center"/>
    </xf>
    <xf numFmtId="0" fontId="97" fillId="91" borderId="12" xfId="0" applyFont="1" applyFill="1" applyBorder="1" applyAlignment="1">
      <alignment horizontal="center" vertical="center"/>
    </xf>
    <xf numFmtId="0" fontId="114" fillId="89" borderId="96" xfId="0" applyFont="1" applyFill="1" applyBorder="1" applyAlignment="1">
      <alignment horizontal="center" vertical="center"/>
    </xf>
    <xf numFmtId="0" fontId="97" fillId="89" borderId="96" xfId="0" applyFont="1" applyFill="1" applyBorder="1" applyAlignment="1">
      <alignment horizontal="center" vertical="center"/>
    </xf>
    <xf numFmtId="0" fontId="114" fillId="90" borderId="96" xfId="0" applyFont="1" applyFill="1" applyBorder="1" applyAlignment="1">
      <alignment horizontal="center" vertical="center"/>
    </xf>
    <xf numFmtId="0" fontId="98" fillId="89" borderId="12" xfId="0" applyFont="1" applyFill="1" applyBorder="1" applyAlignment="1">
      <alignment horizontal="center" vertical="center"/>
    </xf>
    <xf numFmtId="0" fontId="97" fillId="92" borderId="83" xfId="0" applyFont="1" applyFill="1" applyBorder="1" applyAlignment="1">
      <alignment horizontal="center" vertical="center"/>
    </xf>
    <xf numFmtId="0" fontId="97" fillId="92" borderId="84" xfId="0" applyFont="1" applyFill="1" applyBorder="1" applyAlignment="1">
      <alignment horizontal="center" vertical="center"/>
    </xf>
    <xf numFmtId="0" fontId="97" fillId="88" borderId="84" xfId="0" applyFont="1" applyFill="1" applyBorder="1" applyAlignment="1">
      <alignment horizontal="center" vertical="center"/>
    </xf>
    <xf numFmtId="0" fontId="97" fillId="89" borderId="84" xfId="0" applyFont="1" applyFill="1" applyBorder="1" applyAlignment="1">
      <alignment horizontal="center" vertical="center"/>
    </xf>
    <xf numFmtId="0" fontId="97" fillId="89" borderId="26" xfId="0" applyFont="1" applyFill="1" applyBorder="1" applyAlignment="1">
      <alignment horizontal="center" vertical="center"/>
    </xf>
    <xf numFmtId="0" fontId="97" fillId="92" borderId="85" xfId="0" applyFont="1" applyFill="1" applyBorder="1" applyAlignment="1">
      <alignment horizontal="center" vertical="center"/>
    </xf>
    <xf numFmtId="0" fontId="97" fillId="92" borderId="86" xfId="0" applyFont="1" applyFill="1" applyBorder="1" applyAlignment="1">
      <alignment horizontal="center" vertical="center"/>
    </xf>
    <xf numFmtId="0" fontId="97" fillId="88" borderId="86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97" fillId="89" borderId="27" xfId="0" applyFont="1" applyFill="1" applyBorder="1" applyAlignment="1">
      <alignment horizontal="center" vertical="center"/>
    </xf>
    <xf numFmtId="0" fontId="97" fillId="92" borderId="87" xfId="0" applyFont="1" applyFill="1" applyBorder="1" applyAlignment="1">
      <alignment horizontal="center" vertical="center"/>
    </xf>
    <xf numFmtId="0" fontId="97" fillId="92" borderId="88" xfId="0" applyFont="1" applyFill="1" applyBorder="1" applyAlignment="1">
      <alignment horizontal="center" vertical="center"/>
    </xf>
    <xf numFmtId="0" fontId="97" fillId="88" borderId="88" xfId="0" applyFont="1" applyFill="1" applyBorder="1" applyAlignment="1">
      <alignment horizontal="center" vertical="center"/>
    </xf>
    <xf numFmtId="0" fontId="97" fillId="89" borderId="88" xfId="0" applyFont="1" applyFill="1" applyBorder="1" applyAlignment="1">
      <alignment horizontal="center" vertical="center"/>
    </xf>
    <xf numFmtId="0" fontId="97" fillId="89" borderId="28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145" fillId="0" borderId="13" xfId="0" applyFont="1" applyBorder="1" applyAlignment="1">
      <alignment horizontal="center" vertical="center"/>
    </xf>
    <xf numFmtId="0" fontId="146" fillId="0" borderId="13" xfId="0" applyFont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/>
    </xf>
    <xf numFmtId="0" fontId="100" fillId="0" borderId="12" xfId="0" applyFont="1" applyBorder="1" applyAlignment="1">
      <alignment horizontal="center" vertical="center"/>
    </xf>
    <xf numFmtId="0" fontId="98" fillId="79" borderId="40" xfId="0" applyFont="1" applyFill="1" applyBorder="1" applyAlignment="1">
      <alignment horizontal="center" vertical="center"/>
    </xf>
    <xf numFmtId="0" fontId="98" fillId="79" borderId="116" xfId="0" applyFont="1" applyFill="1" applyBorder="1" applyAlignment="1">
      <alignment horizontal="center" vertical="center"/>
    </xf>
    <xf numFmtId="0" fontId="127" fillId="72" borderId="117" xfId="0" applyFont="1" applyFill="1" applyBorder="1" applyAlignment="1">
      <alignment horizontal="center" vertical="center"/>
    </xf>
    <xf numFmtId="0" fontId="127" fillId="72" borderId="11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21" fillId="79" borderId="108" xfId="0" applyFont="1" applyFill="1" applyBorder="1"/>
    <xf numFmtId="0" fontId="121" fillId="79" borderId="120" xfId="0" applyFont="1" applyFill="1" applyBorder="1"/>
    <xf numFmtId="0" fontId="121" fillId="79" borderId="120" xfId="0" applyFont="1" applyFill="1" applyBorder="1" applyAlignment="1">
      <alignment shrinkToFit="1"/>
    </xf>
    <xf numFmtId="0" fontId="131" fillId="79" borderId="120" xfId="0" applyFont="1" applyFill="1" applyBorder="1"/>
    <xf numFmtId="0" fontId="121" fillId="79" borderId="107" xfId="0" applyFont="1" applyFill="1" applyBorder="1"/>
    <xf numFmtId="0" fontId="121" fillId="79" borderId="121" xfId="0" applyFont="1" applyFill="1" applyBorder="1"/>
    <xf numFmtId="0" fontId="121" fillId="79" borderId="29" xfId="0" applyFont="1" applyFill="1" applyBorder="1"/>
    <xf numFmtId="0" fontId="121" fillId="79" borderId="29" xfId="0" applyFont="1" applyFill="1" applyBorder="1" applyAlignment="1">
      <alignment shrinkToFit="1"/>
    </xf>
    <xf numFmtId="0" fontId="131" fillId="79" borderId="29" xfId="0" applyFont="1" applyFill="1" applyBorder="1"/>
    <xf numFmtId="0" fontId="121" fillId="75" borderId="121" xfId="0" applyFont="1" applyFill="1" applyBorder="1" applyAlignment="1">
      <alignment horizontal="center"/>
    </xf>
    <xf numFmtId="0" fontId="121" fillId="75" borderId="29" xfId="0" applyFont="1" applyFill="1" applyBorder="1" applyAlignment="1">
      <alignment horizontal="center"/>
    </xf>
    <xf numFmtId="0" fontId="147" fillId="79" borderId="122" xfId="0" applyFont="1" applyFill="1" applyBorder="1" applyAlignment="1">
      <alignment horizontal="right"/>
    </xf>
    <xf numFmtId="0" fontId="147" fillId="75" borderId="122" xfId="0" applyFont="1" applyFill="1" applyBorder="1" applyAlignment="1">
      <alignment horizontal="right"/>
    </xf>
    <xf numFmtId="0" fontId="110" fillId="0" borderId="120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 shrinkToFit="1"/>
    </xf>
    <xf numFmtId="0" fontId="100" fillId="0" borderId="120" xfId="0" applyFont="1" applyBorder="1" applyAlignment="1">
      <alignment horizontal="left" vertical="center"/>
    </xf>
    <xf numFmtId="0" fontId="100" fillId="0" borderId="120" xfId="0" applyFont="1" applyBorder="1" applyAlignment="1">
      <alignment horizontal="center" vertical="center"/>
    </xf>
    <xf numFmtId="0" fontId="144" fillId="0" borderId="120" xfId="0" applyFont="1" applyBorder="1" applyAlignment="1">
      <alignment horizontal="center" vertical="center"/>
    </xf>
    <xf numFmtId="0" fontId="98" fillId="87" borderId="14" xfId="0" applyFont="1" applyFill="1" applyBorder="1" applyAlignment="1">
      <alignment horizontal="center" vertical="center" shrinkToFit="1"/>
    </xf>
    <xf numFmtId="0" fontId="98" fillId="87" borderId="12" xfId="0" applyFont="1" applyFill="1" applyBorder="1" applyAlignment="1">
      <alignment horizontal="center" vertical="center" shrinkToFit="1"/>
    </xf>
    <xf numFmtId="0" fontId="98" fillId="87" borderId="13" xfId="0" applyFont="1" applyFill="1" applyBorder="1" applyAlignment="1">
      <alignment horizontal="center" vertical="center" shrinkToFit="1"/>
    </xf>
    <xf numFmtId="0" fontId="98" fillId="87" borderId="14" xfId="0" applyFont="1" applyFill="1" applyBorder="1" applyAlignment="1">
      <alignment horizontal="center" vertical="center"/>
    </xf>
    <xf numFmtId="0" fontId="98" fillId="87" borderId="12" xfId="0" applyFont="1" applyFill="1" applyBorder="1" applyAlignment="1">
      <alignment horizontal="center" vertical="center"/>
    </xf>
    <xf numFmtId="0" fontId="98" fillId="87" borderId="13" xfId="0" applyFont="1" applyFill="1" applyBorder="1" applyAlignment="1">
      <alignment horizontal="center" vertical="center"/>
    </xf>
    <xf numFmtId="0" fontId="148" fillId="0" borderId="13" xfId="0" applyFont="1" applyBorder="1" applyAlignment="1">
      <alignment horizontal="center" vertical="center"/>
    </xf>
    <xf numFmtId="0" fontId="5" fillId="93" borderId="12" xfId="0" applyFont="1" applyFill="1" applyBorder="1" applyAlignment="1">
      <alignment horizontal="center" vertical="center"/>
    </xf>
    <xf numFmtId="0" fontId="100" fillId="93" borderId="12" xfId="0" applyFont="1" applyFill="1" applyBorder="1" applyAlignment="1">
      <alignment horizontal="center" vertical="center"/>
    </xf>
    <xf numFmtId="0" fontId="5" fillId="93" borderId="13" xfId="0" applyFont="1" applyFill="1" applyBorder="1" applyAlignment="1">
      <alignment horizontal="center" vertical="center"/>
    </xf>
    <xf numFmtId="0" fontId="100" fillId="94" borderId="14" xfId="0" applyFont="1" applyFill="1" applyBorder="1" applyAlignment="1">
      <alignment horizontal="center" vertical="center"/>
    </xf>
    <xf numFmtId="0" fontId="100" fillId="94" borderId="12" xfId="0" applyFont="1" applyFill="1" applyBorder="1" applyAlignment="1">
      <alignment horizontal="center" vertical="center"/>
    </xf>
    <xf numFmtId="0" fontId="148" fillId="93" borderId="13" xfId="0" applyFont="1" applyFill="1" applyBorder="1" applyAlignment="1">
      <alignment horizontal="center" vertical="center"/>
    </xf>
    <xf numFmtId="0" fontId="100" fillId="94" borderId="13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/>
    </xf>
    <xf numFmtId="0" fontId="5" fillId="93" borderId="14" xfId="0" applyFont="1" applyFill="1" applyBorder="1" applyAlignment="1">
      <alignment horizontal="center" vertical="center"/>
    </xf>
    <xf numFmtId="0" fontId="5" fillId="94" borderId="12" xfId="0" applyFont="1" applyFill="1" applyBorder="1" applyAlignment="1">
      <alignment horizontal="center" vertical="center"/>
    </xf>
    <xf numFmtId="0" fontId="114" fillId="15" borderId="10" xfId="0" applyFont="1" applyFill="1" applyBorder="1" applyAlignment="1">
      <alignment horizontal="center"/>
    </xf>
    <xf numFmtId="1" fontId="150" fillId="82" borderId="10" xfId="0" applyNumberFormat="1" applyFont="1" applyFill="1" applyBorder="1" applyAlignment="1">
      <alignment horizontal="center" vertical="center" shrinkToFit="1"/>
    </xf>
    <xf numFmtId="1" fontId="150" fillId="16" borderId="10" xfId="0" applyNumberFormat="1" applyFont="1" applyFill="1" applyBorder="1" applyAlignment="1">
      <alignment horizontal="center" vertical="center" shrinkToFit="1"/>
    </xf>
    <xf numFmtId="0" fontId="114" fillId="0" borderId="0" xfId="0" applyFont="1"/>
    <xf numFmtId="0" fontId="64" fillId="87" borderId="10" xfId="0" applyFont="1" applyFill="1" applyBorder="1" applyAlignment="1">
      <alignment horizontal="left" vertical="center"/>
    </xf>
    <xf numFmtId="0" fontId="99" fillId="79" borderId="10" xfId="0" applyFont="1" applyFill="1" applyBorder="1" applyAlignment="1">
      <alignment horizontal="center" vertical="center"/>
    </xf>
    <xf numFmtId="0" fontId="149" fillId="79" borderId="10" xfId="0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/>
    </xf>
    <xf numFmtId="0" fontId="134" fillId="79" borderId="10" xfId="0" applyFont="1" applyFill="1" applyBorder="1" applyAlignment="1">
      <alignment horizontal="center" vertical="center" wrapText="1"/>
    </xf>
    <xf numFmtId="0" fontId="151" fillId="79" borderId="10" xfId="0" applyFont="1" applyFill="1" applyBorder="1" applyAlignment="1">
      <alignment horizontal="center" vertical="center" wrapText="1"/>
    </xf>
    <xf numFmtId="0" fontId="152" fillId="72" borderId="10" xfId="0" applyFont="1" applyFill="1" applyBorder="1" applyAlignment="1">
      <alignment horizontal="center" vertical="center"/>
    </xf>
    <xf numFmtId="0" fontId="153" fillId="72" borderId="10" xfId="0" applyFont="1" applyFill="1" applyBorder="1" applyAlignment="1">
      <alignment horizontal="center" vertical="center"/>
    </xf>
    <xf numFmtId="0" fontId="152" fillId="72" borderId="10" xfId="0" applyFont="1" applyFill="1" applyBorder="1" applyAlignment="1">
      <alignment horizontal="left" vertical="center"/>
    </xf>
    <xf numFmtId="0" fontId="135" fillId="72" borderId="10" xfId="0" applyFont="1" applyFill="1" applyBorder="1" applyAlignment="1">
      <alignment horizontal="center" vertical="center" wrapText="1"/>
    </xf>
    <xf numFmtId="0" fontId="154" fillId="72" borderId="10" xfId="0" applyFont="1" applyFill="1" applyBorder="1" applyAlignment="1">
      <alignment horizontal="center" vertical="center" wrapText="1"/>
    </xf>
    <xf numFmtId="0" fontId="64" fillId="79" borderId="10" xfId="0" applyFont="1" applyFill="1" applyBorder="1" applyAlignment="1">
      <alignment horizontal="center" vertical="center"/>
    </xf>
    <xf numFmtId="0" fontId="65" fillId="7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justify"/>
    </xf>
    <xf numFmtId="49" fontId="149" fillId="79" borderId="10" xfId="0" applyNumberFormat="1" applyFont="1" applyFill="1" applyBorder="1" applyAlignment="1">
      <alignment horizontal="center" vertical="center"/>
    </xf>
    <xf numFmtId="49" fontId="153" fillId="72" borderId="10" xfId="0" applyNumberFormat="1" applyFont="1" applyFill="1" applyBorder="1" applyAlignment="1">
      <alignment horizontal="center" vertical="center"/>
    </xf>
    <xf numFmtId="49" fontId="65" fillId="87" borderId="10" xfId="0" applyNumberFormat="1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 wrapText="1"/>
    </xf>
    <xf numFmtId="0" fontId="149" fillId="0" borderId="10" xfId="0" applyFont="1" applyBorder="1" applyAlignment="1">
      <alignment horizontal="center" vertical="center"/>
    </xf>
    <xf numFmtId="0" fontId="64" fillId="87" borderId="10" xfId="0" applyFont="1" applyFill="1" applyBorder="1" applyAlignment="1">
      <alignment horizontal="left" vertical="center" wrapText="1"/>
    </xf>
    <xf numFmtId="0" fontId="155" fillId="13" borderId="10" xfId="0" applyFont="1" applyFill="1" applyBorder="1" applyAlignment="1">
      <alignment horizontal="center"/>
    </xf>
    <xf numFmtId="0" fontId="155" fillId="43" borderId="10" xfId="0" applyFont="1" applyFill="1" applyBorder="1" applyAlignment="1">
      <alignment horizontal="center"/>
    </xf>
    <xf numFmtId="0" fontId="155" fillId="7" borderId="10" xfId="0" applyFont="1" applyFill="1" applyBorder="1" applyAlignment="1">
      <alignment horizontal="center"/>
    </xf>
    <xf numFmtId="0" fontId="155" fillId="15" borderId="10" xfId="0" applyFont="1" applyFill="1" applyBorder="1" applyAlignment="1">
      <alignment horizontal="center"/>
    </xf>
    <xf numFmtId="0" fontId="155" fillId="16" borderId="10" xfId="0" applyFont="1" applyFill="1" applyBorder="1" applyAlignment="1">
      <alignment horizontal="center"/>
    </xf>
    <xf numFmtId="0" fontId="143" fillId="13" borderId="10" xfId="0" applyFont="1" applyFill="1" applyBorder="1" applyAlignment="1">
      <alignment horizontal="center"/>
    </xf>
    <xf numFmtId="0" fontId="126" fillId="13" borderId="10" xfId="0" applyFont="1" applyFill="1" applyBorder="1" applyAlignment="1">
      <alignment horizontal="center" vertical="top"/>
    </xf>
    <xf numFmtId="0" fontId="126" fillId="13" borderId="10" xfId="0" applyFont="1" applyFill="1" applyBorder="1"/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94" borderId="112" xfId="0" applyFont="1" applyFill="1" applyBorder="1" applyAlignment="1">
      <alignment horizontal="center" vertical="center" wrapText="1"/>
    </xf>
    <xf numFmtId="0" fontId="5" fillId="94" borderId="1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94" borderId="124" xfId="0" applyFont="1" applyFill="1" applyBorder="1" applyAlignment="1">
      <alignment horizontal="center" vertical="center"/>
    </xf>
    <xf numFmtId="0" fontId="5" fillId="94" borderId="14" xfId="0" applyFont="1" applyFill="1" applyBorder="1" applyAlignment="1">
      <alignment horizontal="center" vertical="center" wrapText="1"/>
    </xf>
    <xf numFmtId="0" fontId="5" fillId="94" borderId="123" xfId="0" applyFont="1" applyFill="1" applyBorder="1" applyAlignment="1">
      <alignment horizontal="center" vertical="center"/>
    </xf>
    <xf numFmtId="0" fontId="5" fillId="93" borderId="112" xfId="0" applyFont="1" applyFill="1" applyBorder="1" applyAlignment="1">
      <alignment horizontal="center" vertical="center"/>
    </xf>
    <xf numFmtId="0" fontId="5" fillId="94" borderId="13" xfId="0" applyFont="1" applyFill="1" applyBorder="1" applyAlignment="1">
      <alignment horizontal="center" vertical="center"/>
    </xf>
    <xf numFmtId="0" fontId="100" fillId="93" borderId="124" xfId="0" applyFont="1" applyFill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 wrapText="1"/>
    </xf>
    <xf numFmtId="0" fontId="156" fillId="0" borderId="0" xfId="0" applyFont="1"/>
    <xf numFmtId="0" fontId="100" fillId="0" borderId="14" xfId="0" applyFont="1" applyBorder="1" applyAlignment="1">
      <alignment horizontal="center" vertical="center" wrapText="1"/>
    </xf>
    <xf numFmtId="0" fontId="100" fillId="0" borderId="12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 wrapText="1"/>
    </xf>
    <xf numFmtId="0" fontId="145" fillId="0" borderId="124" xfId="0" applyFont="1" applyBorder="1" applyAlignment="1">
      <alignment horizontal="center" vertical="center"/>
    </xf>
    <xf numFmtId="0" fontId="108" fillId="91" borderId="100" xfId="0" applyFont="1" applyFill="1" applyBorder="1" applyAlignment="1">
      <alignment horizontal="left" vertical="center"/>
    </xf>
    <xf numFmtId="0" fontId="108" fillId="91" borderId="101" xfId="0" applyFont="1" applyFill="1" applyBorder="1" applyAlignment="1">
      <alignment horizontal="left" vertical="center"/>
    </xf>
    <xf numFmtId="0" fontId="108" fillId="91" borderId="102" xfId="0" applyFont="1" applyFill="1" applyBorder="1" applyAlignment="1">
      <alignment horizontal="left" vertical="center"/>
    </xf>
    <xf numFmtId="0" fontId="157" fillId="0" borderId="76" xfId="0" applyFont="1" applyBorder="1" applyAlignment="1">
      <alignment horizontal="center" vertical="center"/>
    </xf>
    <xf numFmtId="0" fontId="157" fillId="0" borderId="129" xfId="0" applyFont="1" applyBorder="1" applyAlignment="1">
      <alignment horizontal="center" vertical="center"/>
    </xf>
    <xf numFmtId="0" fontId="98" fillId="90" borderId="12" xfId="0" applyFont="1" applyFill="1" applyBorder="1" applyAlignment="1">
      <alignment horizontal="center" vertical="center"/>
    </xf>
    <xf numFmtId="0" fontId="97" fillId="88" borderId="14" xfId="0" applyFont="1" applyFill="1" applyBorder="1" applyAlignment="1">
      <alignment horizontal="center" vertical="center"/>
    </xf>
    <xf numFmtId="0" fontId="97" fillId="88" borderId="12" xfId="0" applyFont="1" applyFill="1" applyBorder="1" applyAlignment="1">
      <alignment horizontal="center" vertical="center"/>
    </xf>
    <xf numFmtId="0" fontId="114" fillId="88" borderId="14" xfId="0" applyFont="1" applyFill="1" applyBorder="1" applyAlignment="1">
      <alignment horizontal="center" vertical="center"/>
    </xf>
    <xf numFmtId="0" fontId="114" fillId="88" borderId="12" xfId="0" applyFont="1" applyFill="1" applyBorder="1" applyAlignment="1">
      <alignment horizontal="center" vertical="center"/>
    </xf>
    <xf numFmtId="0" fontId="114" fillId="88" borderId="96" xfId="0" applyFont="1" applyFill="1" applyBorder="1" applyAlignment="1">
      <alignment horizontal="center" vertical="center"/>
    </xf>
    <xf numFmtId="0" fontId="114" fillId="88" borderId="114" xfId="0" applyFont="1" applyFill="1" applyBorder="1" applyAlignment="1">
      <alignment horizontal="center" vertical="center"/>
    </xf>
    <xf numFmtId="0" fontId="97" fillId="88" borderId="114" xfId="0" applyFont="1" applyFill="1" applyBorder="1" applyAlignment="1">
      <alignment horizontal="center" vertical="center"/>
    </xf>
    <xf numFmtId="0" fontId="114" fillId="89" borderId="114" xfId="0" applyFont="1" applyFill="1" applyBorder="1" applyAlignment="1">
      <alignment horizontal="center" vertical="center"/>
    </xf>
    <xf numFmtId="0" fontId="97" fillId="89" borderId="114" xfId="0" applyFont="1" applyFill="1" applyBorder="1" applyAlignment="1">
      <alignment horizontal="center" vertical="center"/>
    </xf>
    <xf numFmtId="0" fontId="114" fillId="90" borderId="114" xfId="0" applyFont="1" applyFill="1" applyBorder="1" applyAlignment="1">
      <alignment horizontal="center" vertical="center"/>
    </xf>
    <xf numFmtId="0" fontId="97" fillId="90" borderId="114" xfId="0" applyFont="1" applyFill="1" applyBorder="1" applyAlignment="1">
      <alignment horizontal="center" vertical="center"/>
    </xf>
    <xf numFmtId="0" fontId="108" fillId="90" borderId="133" xfId="0" applyFont="1" applyFill="1" applyBorder="1" applyAlignment="1">
      <alignment horizontal="left" vertical="center"/>
    </xf>
    <xf numFmtId="0" fontId="108" fillId="90" borderId="135" xfId="0" applyFont="1" applyFill="1" applyBorder="1" applyAlignment="1">
      <alignment horizontal="left" vertical="center"/>
    </xf>
    <xf numFmtId="0" fontId="108" fillId="90" borderId="134" xfId="0" applyFont="1" applyFill="1" applyBorder="1" applyAlignment="1">
      <alignment horizontal="left" vertical="center"/>
    </xf>
    <xf numFmtId="0" fontId="114" fillId="91" borderId="114" xfId="0" applyFont="1" applyFill="1" applyBorder="1" applyAlignment="1">
      <alignment horizontal="center" vertical="center"/>
    </xf>
    <xf numFmtId="0" fontId="97" fillId="91" borderId="114" xfId="0" applyFont="1" applyFill="1" applyBorder="1" applyAlignment="1">
      <alignment horizontal="center" vertical="center"/>
    </xf>
    <xf numFmtId="0" fontId="108" fillId="91" borderId="133" xfId="0" applyFont="1" applyFill="1" applyBorder="1" applyAlignment="1">
      <alignment horizontal="left" vertical="center"/>
    </xf>
    <xf numFmtId="0" fontId="108" fillId="91" borderId="135" xfId="0" applyFont="1" applyFill="1" applyBorder="1" applyAlignment="1">
      <alignment horizontal="left" vertical="center"/>
    </xf>
    <xf numFmtId="0" fontId="108" fillId="91" borderId="134" xfId="0" applyFont="1" applyFill="1" applyBorder="1" applyAlignment="1">
      <alignment horizontal="left" vertical="center"/>
    </xf>
    <xf numFmtId="0" fontId="5" fillId="96" borderId="119" xfId="0" applyFont="1" applyFill="1" applyBorder="1" applyAlignment="1">
      <alignment horizontal="center" vertical="center"/>
    </xf>
    <xf numFmtId="0" fontId="5" fillId="77" borderId="119" xfId="0" applyFont="1" applyFill="1" applyBorder="1" applyAlignment="1">
      <alignment horizontal="center" vertical="center"/>
    </xf>
    <xf numFmtId="0" fontId="5" fillId="96" borderId="12" xfId="0" applyFont="1" applyFill="1" applyBorder="1" applyAlignment="1">
      <alignment horizontal="center" vertical="center"/>
    </xf>
    <xf numFmtId="0" fontId="5" fillId="96" borderId="119" xfId="0" applyFont="1" applyFill="1" applyBorder="1" applyAlignment="1">
      <alignment horizontal="center" vertical="center" wrapText="1"/>
    </xf>
    <xf numFmtId="0" fontId="100" fillId="96" borderId="119" xfId="0" applyFont="1" applyFill="1" applyBorder="1" applyAlignment="1">
      <alignment horizontal="center" vertical="center"/>
    </xf>
    <xf numFmtId="0" fontId="5" fillId="77" borderId="14" xfId="0" applyFont="1" applyFill="1" applyBorder="1" applyAlignment="1">
      <alignment horizontal="center" vertical="center"/>
    </xf>
    <xf numFmtId="0" fontId="5" fillId="77" borderId="123" xfId="0" applyFont="1" applyFill="1" applyBorder="1" applyAlignment="1">
      <alignment horizontal="center" vertical="center"/>
    </xf>
    <xf numFmtId="0" fontId="5" fillId="96" borderId="12" xfId="0" applyFont="1" applyFill="1" applyBorder="1" applyAlignment="1">
      <alignment horizontal="center" vertical="center" wrapText="1"/>
    </xf>
    <xf numFmtId="0" fontId="5" fillId="77" borderId="12" xfId="0" applyFont="1" applyFill="1" applyBorder="1" applyAlignment="1">
      <alignment horizontal="center" vertical="center"/>
    </xf>
    <xf numFmtId="0" fontId="100" fillId="77" borderId="12" xfId="0" applyFont="1" applyFill="1" applyBorder="1" applyAlignment="1">
      <alignment horizontal="center" vertical="center"/>
    </xf>
    <xf numFmtId="0" fontId="5" fillId="77" borderId="112" xfId="0" applyFont="1" applyFill="1" applyBorder="1" applyAlignment="1">
      <alignment horizontal="center" vertical="center"/>
    </xf>
    <xf numFmtId="0" fontId="100" fillId="96" borderId="12" xfId="0" applyFont="1" applyFill="1" applyBorder="1" applyAlignment="1">
      <alignment horizontal="center" vertical="center"/>
    </xf>
    <xf numFmtId="0" fontId="5" fillId="96" borderId="13" xfId="0" applyFont="1" applyFill="1" applyBorder="1" applyAlignment="1">
      <alignment horizontal="center" vertical="center"/>
    </xf>
    <xf numFmtId="0" fontId="5" fillId="77" borderId="13" xfId="0" applyFont="1" applyFill="1" applyBorder="1" applyAlignment="1">
      <alignment horizontal="center" vertical="center"/>
    </xf>
    <xf numFmtId="0" fontId="5" fillId="77" borderId="124" xfId="0" applyFont="1" applyFill="1" applyBorder="1" applyAlignment="1">
      <alignment horizontal="center" vertical="center"/>
    </xf>
    <xf numFmtId="0" fontId="5" fillId="96" borderId="112" xfId="0" applyFont="1" applyFill="1" applyBorder="1" applyAlignment="1">
      <alignment horizontal="center" vertical="center"/>
    </xf>
    <xf numFmtId="0" fontId="5" fillId="96" borderId="124" xfId="0" applyFont="1" applyFill="1" applyBorder="1" applyAlignment="1">
      <alignment horizontal="center" vertical="center"/>
    </xf>
    <xf numFmtId="0" fontId="100" fillId="97" borderId="14" xfId="0" applyFont="1" applyFill="1" applyBorder="1" applyAlignment="1">
      <alignment horizontal="center" vertical="center"/>
    </xf>
    <xf numFmtId="0" fontId="144" fillId="97" borderId="14" xfId="0" applyFont="1" applyFill="1" applyBorder="1" applyAlignment="1">
      <alignment horizontal="center" vertical="center"/>
    </xf>
    <xf numFmtId="0" fontId="100" fillId="97" borderId="123" xfId="0" applyFont="1" applyFill="1" applyBorder="1" applyAlignment="1">
      <alignment horizontal="center" vertical="center"/>
    </xf>
    <xf numFmtId="0" fontId="100" fillId="97" borderId="119" xfId="0" applyFont="1" applyFill="1" applyBorder="1" applyAlignment="1">
      <alignment horizontal="left" vertical="center"/>
    </xf>
    <xf numFmtId="0" fontId="100" fillId="97" borderId="119" xfId="0" applyFont="1" applyFill="1" applyBorder="1" applyAlignment="1">
      <alignment horizontal="center" vertical="center"/>
    </xf>
    <xf numFmtId="0" fontId="144" fillId="97" borderId="119" xfId="0" applyFont="1" applyFill="1" applyBorder="1" applyAlignment="1">
      <alignment horizontal="center" vertical="center"/>
    </xf>
    <xf numFmtId="0" fontId="144" fillId="97" borderId="12" xfId="0" applyFont="1" applyFill="1" applyBorder="1" applyAlignment="1">
      <alignment horizontal="center" vertical="center"/>
    </xf>
    <xf numFmtId="0" fontId="100" fillId="97" borderId="12" xfId="0" applyFont="1" applyFill="1" applyBorder="1" applyAlignment="1">
      <alignment horizontal="left" vertical="center"/>
    </xf>
    <xf numFmtId="0" fontId="100" fillId="97" borderId="12" xfId="0" applyFont="1" applyFill="1" applyBorder="1" applyAlignment="1">
      <alignment horizontal="center" vertical="center"/>
    </xf>
    <xf numFmtId="0" fontId="144" fillId="97" borderId="112" xfId="0" applyFont="1" applyFill="1" applyBorder="1" applyAlignment="1">
      <alignment horizontal="center" vertical="center"/>
    </xf>
    <xf numFmtId="0" fontId="100" fillId="97" borderId="114" xfId="0" applyFont="1" applyFill="1" applyBorder="1" applyAlignment="1">
      <alignment horizontal="left" vertical="center"/>
    </xf>
    <xf numFmtId="0" fontId="100" fillId="97" borderId="114" xfId="0" applyFont="1" applyFill="1" applyBorder="1" applyAlignment="1">
      <alignment horizontal="center" vertical="center"/>
    </xf>
    <xf numFmtId="0" fontId="144" fillId="97" borderId="114" xfId="0" applyFont="1" applyFill="1" applyBorder="1" applyAlignment="1">
      <alignment horizontal="center" vertical="center"/>
    </xf>
    <xf numFmtId="0" fontId="144" fillId="97" borderId="115" xfId="0" applyFont="1" applyFill="1" applyBorder="1" applyAlignment="1">
      <alignment horizontal="center" vertical="center"/>
    </xf>
    <xf numFmtId="0" fontId="0" fillId="0" borderId="94" xfId="0" applyBorder="1"/>
    <xf numFmtId="0" fontId="129" fillId="0" borderId="137" xfId="0" applyFont="1" applyBorder="1" applyAlignment="1">
      <alignment horizontal="right"/>
    </xf>
    <xf numFmtId="0" fontId="5" fillId="98" borderId="128" xfId="0" applyFont="1" applyFill="1" applyBorder="1" applyAlignment="1">
      <alignment horizontal="center" vertical="center"/>
    </xf>
    <xf numFmtId="0" fontId="5" fillId="99" borderId="14" xfId="0" applyFont="1" applyFill="1" applyBorder="1" applyAlignment="1">
      <alignment horizontal="center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22" fillId="89" borderId="100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98" fillId="75" borderId="31" xfId="0" applyFont="1" applyFill="1" applyBorder="1" applyAlignment="1">
      <alignment horizontal="center" vertical="center" shrinkToFit="1"/>
    </xf>
    <xf numFmtId="0" fontId="98" fillId="0" borderId="31" xfId="0" applyFont="1" applyBorder="1" applyAlignment="1">
      <alignment horizontal="center" vertical="center"/>
    </xf>
    <xf numFmtId="0" fontId="98" fillId="0" borderId="32" xfId="0" applyFont="1" applyBorder="1" applyAlignment="1">
      <alignment horizontal="center" vertical="center"/>
    </xf>
    <xf numFmtId="0" fontId="5" fillId="99" borderId="123" xfId="0" applyFont="1" applyFill="1" applyBorder="1" applyAlignment="1">
      <alignment horizontal="center" vertical="center"/>
    </xf>
    <xf numFmtId="0" fontId="144" fillId="0" borderId="107" xfId="0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 shrinkToFit="1"/>
    </xf>
    <xf numFmtId="0" fontId="100" fillId="0" borderId="0" xfId="0" applyFont="1" applyAlignment="1">
      <alignment horizontal="left" vertical="center"/>
    </xf>
    <xf numFmtId="0" fontId="100" fillId="0" borderId="0" xfId="0" applyFont="1" applyAlignment="1">
      <alignment horizontal="center" vertical="center"/>
    </xf>
    <xf numFmtId="0" fontId="144" fillId="0" borderId="0" xfId="0" applyFont="1" applyAlignment="1">
      <alignment horizontal="center" vertical="center"/>
    </xf>
    <xf numFmtId="0" fontId="144" fillId="0" borderId="138" xfId="0" applyFont="1" applyBorder="1" applyAlignment="1">
      <alignment horizontal="center" vertical="center"/>
    </xf>
    <xf numFmtId="0" fontId="143" fillId="7" borderId="10" xfId="0" applyFont="1" applyFill="1" applyBorder="1" applyAlignment="1">
      <alignment horizontal="center"/>
    </xf>
    <xf numFmtId="0" fontId="126" fillId="7" borderId="10" xfId="0" applyFont="1" applyFill="1" applyBorder="1" applyAlignment="1">
      <alignment horizontal="center" vertical="center"/>
    </xf>
    <xf numFmtId="0" fontId="143" fillId="43" borderId="10" xfId="0" applyFont="1" applyFill="1" applyBorder="1" applyAlignment="1">
      <alignment horizontal="center"/>
    </xf>
    <xf numFmtId="0" fontId="143" fillId="0" borderId="0" xfId="0" applyFont="1"/>
    <xf numFmtId="0" fontId="100" fillId="88" borderId="84" xfId="0" applyFont="1" applyFill="1" applyBorder="1" applyAlignment="1">
      <alignment horizontal="center" vertical="center"/>
    </xf>
    <xf numFmtId="0" fontId="159" fillId="92" borderId="84" xfId="0" applyFont="1" applyFill="1" applyBorder="1" applyAlignment="1">
      <alignment horizontal="center" vertical="center"/>
    </xf>
    <xf numFmtId="0" fontId="159" fillId="88" borderId="84" xfId="0" applyFont="1" applyFill="1" applyBorder="1" applyAlignment="1">
      <alignment horizontal="center" vertical="center"/>
    </xf>
    <xf numFmtId="0" fontId="98" fillId="92" borderId="87" xfId="0" applyFont="1" applyFill="1" applyBorder="1" applyAlignment="1">
      <alignment horizontal="center" vertical="center"/>
    </xf>
    <xf numFmtId="0" fontId="98" fillId="92" borderId="86" xfId="0" applyFont="1" applyFill="1" applyBorder="1" applyAlignment="1">
      <alignment horizontal="center" vertical="center"/>
    </xf>
    <xf numFmtId="0" fontId="98" fillId="88" borderId="86" xfId="0" applyFont="1" applyFill="1" applyBorder="1" applyAlignment="1">
      <alignment horizontal="center" vertical="center"/>
    </xf>
    <xf numFmtId="0" fontId="98" fillId="92" borderId="88" xfId="0" applyFont="1" applyFill="1" applyBorder="1" applyAlignment="1">
      <alignment horizontal="center" vertical="center"/>
    </xf>
    <xf numFmtId="0" fontId="98" fillId="88" borderId="88" xfId="0" applyFont="1" applyFill="1" applyBorder="1" applyAlignment="1">
      <alignment horizontal="center" vertical="center"/>
    </xf>
    <xf numFmtId="0" fontId="98" fillId="92" borderId="83" xfId="0" applyFont="1" applyFill="1" applyBorder="1" applyAlignment="1">
      <alignment horizontal="center" vertical="center"/>
    </xf>
    <xf numFmtId="0" fontId="98" fillId="92" borderId="84" xfId="0" applyFont="1" applyFill="1" applyBorder="1" applyAlignment="1">
      <alignment horizontal="center" vertical="center"/>
    </xf>
    <xf numFmtId="0" fontId="98" fillId="88" borderId="84" xfId="0" applyFont="1" applyFill="1" applyBorder="1" applyAlignment="1">
      <alignment horizontal="center" vertical="center"/>
    </xf>
    <xf numFmtId="0" fontId="98" fillId="92" borderId="85" xfId="0" applyFont="1" applyFill="1" applyBorder="1" applyAlignment="1">
      <alignment horizontal="center" vertical="center"/>
    </xf>
    <xf numFmtId="0" fontId="157" fillId="0" borderId="76" xfId="0" applyFont="1" applyBorder="1" applyAlignment="1">
      <alignment horizontal="center" vertical="center" wrapText="1"/>
    </xf>
    <xf numFmtId="0" fontId="145" fillId="0" borderId="125" xfId="0" applyFont="1" applyBorder="1" applyAlignment="1">
      <alignment horizontal="center" vertical="center" wrapText="1" shrinkToFit="1"/>
    </xf>
    <xf numFmtId="0" fontId="160" fillId="0" borderId="125" xfId="0" applyFont="1" applyBorder="1" applyAlignment="1">
      <alignment horizontal="center" vertical="center" wrapText="1" shrinkToFit="1"/>
    </xf>
    <xf numFmtId="0" fontId="145" fillId="0" borderId="126" xfId="0" applyFont="1" applyBorder="1" applyAlignment="1">
      <alignment horizontal="center" vertical="center" wrapText="1" shrinkToFit="1"/>
    </xf>
    <xf numFmtId="0" fontId="160" fillId="0" borderId="126" xfId="0" applyFont="1" applyBorder="1" applyAlignment="1">
      <alignment horizontal="center" vertical="center" wrapText="1" shrinkToFit="1"/>
    </xf>
    <xf numFmtId="0" fontId="145" fillId="87" borderId="127" xfId="0" applyFont="1" applyFill="1" applyBorder="1" applyAlignment="1">
      <alignment horizontal="center" vertical="center" wrapText="1" shrinkToFit="1"/>
    </xf>
    <xf numFmtId="0" fontId="160" fillId="87" borderId="127" xfId="0" applyFont="1" applyFill="1" applyBorder="1" applyAlignment="1">
      <alignment horizontal="center" vertical="center" wrapText="1" shrinkToFit="1"/>
    </xf>
    <xf numFmtId="0" fontId="145" fillId="87" borderId="125" xfId="0" applyFont="1" applyFill="1" applyBorder="1" applyAlignment="1">
      <alignment horizontal="center" vertical="center" wrapText="1" shrinkToFit="1"/>
    </xf>
    <xf numFmtId="0" fontId="160" fillId="87" borderId="125" xfId="0" applyFont="1" applyFill="1" applyBorder="1" applyAlignment="1">
      <alignment horizontal="center" vertical="center" wrapText="1" shrinkToFit="1"/>
    </xf>
    <xf numFmtId="0" fontId="145" fillId="87" borderId="126" xfId="0" applyFont="1" applyFill="1" applyBorder="1" applyAlignment="1">
      <alignment horizontal="center" vertical="center" wrapText="1" shrinkToFit="1"/>
    </xf>
    <xf numFmtId="0" fontId="160" fillId="87" borderId="126" xfId="0" applyFont="1" applyFill="1" applyBorder="1" applyAlignment="1">
      <alignment horizontal="center" vertical="center" wrapText="1" shrinkToFit="1"/>
    </xf>
    <xf numFmtId="0" fontId="145" fillId="0" borderId="127" xfId="0" applyFont="1" applyBorder="1" applyAlignment="1">
      <alignment horizontal="center" vertical="center" wrapText="1" shrinkToFit="1"/>
    </xf>
    <xf numFmtId="0" fontId="160" fillId="0" borderId="127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1" fillId="0" borderId="0" xfId="0" applyFont="1" applyAlignment="1">
      <alignment horizontal="center"/>
    </xf>
    <xf numFmtId="164" fontId="117" fillId="0" borderId="62" xfId="0" applyNumberFormat="1" applyFont="1" applyBorder="1" applyAlignment="1">
      <alignment horizontal="left" vertical="center"/>
    </xf>
    <xf numFmtId="0" fontId="117" fillId="0" borderId="0" xfId="0" applyFont="1" applyAlignment="1">
      <alignment horizontal="left" vertical="center"/>
    </xf>
    <xf numFmtId="0" fontId="117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164" fontId="98" fillId="79" borderId="16" xfId="0" applyNumberFormat="1" applyFont="1" applyFill="1" applyBorder="1" applyAlignment="1">
      <alignment horizontal="center"/>
    </xf>
    <xf numFmtId="164" fontId="98" fillId="79" borderId="37" xfId="0" applyNumberFormat="1" applyFont="1" applyFill="1" applyBorder="1" applyAlignment="1">
      <alignment horizontal="center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0" fontId="98" fillId="79" borderId="38" xfId="0" applyFont="1" applyFill="1" applyBorder="1" applyAlignment="1">
      <alignment horizontal="center"/>
    </xf>
    <xf numFmtId="0" fontId="98" fillId="79" borderId="37" xfId="0" applyFont="1" applyFill="1" applyBorder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0" fontId="98" fillId="79" borderId="55" xfId="0" applyFont="1" applyFill="1" applyBorder="1" applyAlignment="1">
      <alignment horizontal="center" vertical="center"/>
    </xf>
    <xf numFmtId="0" fontId="98" fillId="79" borderId="15" xfId="0" applyFont="1" applyFill="1" applyBorder="1" applyAlignment="1">
      <alignment horizontal="center" vertical="center"/>
    </xf>
    <xf numFmtId="0" fontId="98" fillId="79" borderId="36" xfId="0" applyFont="1" applyFill="1" applyBorder="1" applyAlignment="1">
      <alignment horizontal="center" vertical="center"/>
    </xf>
    <xf numFmtId="0" fontId="98" fillId="79" borderId="42" xfId="0" applyFont="1" applyFill="1" applyBorder="1" applyAlignment="1">
      <alignment horizontal="center" vertical="center"/>
    </xf>
    <xf numFmtId="0" fontId="98" fillId="79" borderId="17" xfId="0" applyFont="1" applyFill="1" applyBorder="1" applyAlignment="1">
      <alignment horizontal="center" vertical="center"/>
    </xf>
    <xf numFmtId="0" fontId="98" fillId="79" borderId="54" xfId="0" applyFont="1" applyFill="1" applyBorder="1" applyAlignment="1">
      <alignment horizontal="center" vertical="center"/>
    </xf>
    <xf numFmtId="0" fontId="20" fillId="79" borderId="10" xfId="0" applyFont="1" applyFill="1" applyBorder="1" applyAlignment="1">
      <alignment horizontal="center" vertical="center"/>
    </xf>
    <xf numFmtId="0" fontId="24" fillId="79" borderId="10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98" fillId="79" borderId="16" xfId="0" applyFont="1" applyFill="1" applyBorder="1" applyAlignment="1">
      <alignment horizontal="center" vertical="center"/>
    </xf>
    <xf numFmtId="0" fontId="98" fillId="79" borderId="37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98" fillId="79" borderId="1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98" fillId="79" borderId="16" xfId="0" applyNumberFormat="1" applyFont="1" applyFill="1" applyBorder="1" applyAlignment="1">
      <alignment horizontal="center" vertical="center"/>
    </xf>
    <xf numFmtId="164" fontId="98" fillId="79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95" borderId="10" xfId="0" applyFont="1" applyFill="1" applyBorder="1" applyAlignment="1">
      <alignment horizontal="center" shrinkToFit="1"/>
    </xf>
    <xf numFmtId="0" fontId="34" fillId="0" borderId="0" xfId="0" applyFont="1" applyAlignment="1">
      <alignment horizontal="center"/>
    </xf>
    <xf numFmtId="0" fontId="140" fillId="79" borderId="16" xfId="0" applyFont="1" applyFill="1" applyBorder="1" applyAlignment="1">
      <alignment horizontal="center" shrinkToFit="1"/>
    </xf>
    <xf numFmtId="0" fontId="140" fillId="79" borderId="37" xfId="0" applyFont="1" applyFill="1" applyBorder="1" applyAlignment="1">
      <alignment horizontal="center" shrinkToFit="1"/>
    </xf>
    <xf numFmtId="0" fontId="24" fillId="79" borderId="10" xfId="0" applyFont="1" applyFill="1" applyBorder="1" applyAlignment="1">
      <alignment horizontal="center" vertical="center" wrapText="1"/>
    </xf>
    <xf numFmtId="1" fontId="98" fillId="79" borderId="10" xfId="0" applyNumberFormat="1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114" fillId="79" borderId="16" xfId="0" applyFont="1" applyFill="1" applyBorder="1" applyAlignment="1">
      <alignment horizontal="center" shrinkToFit="1"/>
    </xf>
    <xf numFmtId="0" fontId="114" fillId="79" borderId="37" xfId="0" applyFont="1" applyFill="1" applyBorder="1" applyAlignment="1">
      <alignment horizontal="center" shrinkToFi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37" xfId="0" applyFont="1" applyFill="1" applyBorder="1" applyAlignment="1">
      <alignment horizontal="center" vertical="center" wrapText="1"/>
    </xf>
    <xf numFmtId="0" fontId="98" fillId="79" borderId="16" xfId="0" applyFont="1" applyFill="1" applyBorder="1" applyAlignment="1">
      <alignment horizontal="center" vertical="center" wrapText="1"/>
    </xf>
    <xf numFmtId="0" fontId="98" fillId="79" borderId="38" xfId="0" applyFont="1" applyFill="1" applyBorder="1" applyAlignment="1">
      <alignment horizontal="center" vertical="center" wrapText="1"/>
    </xf>
    <xf numFmtId="0" fontId="98" fillId="79" borderId="37" xfId="0" applyFont="1" applyFill="1" applyBorder="1" applyAlignment="1">
      <alignment horizontal="center" vertical="center" wrapText="1"/>
    </xf>
    <xf numFmtId="0" fontId="10" fillId="79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98" fillId="79" borderId="16" xfId="0" applyFont="1" applyFill="1" applyBorder="1" applyAlignment="1">
      <alignment horizontal="center" shrinkToFit="1"/>
    </xf>
    <xf numFmtId="0" fontId="98" fillId="79" borderId="37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right" shrinkToFit="1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164" fontId="98" fillId="79" borderId="10" xfId="0" applyNumberFormat="1" applyFont="1" applyFill="1" applyBorder="1" applyAlignment="1">
      <alignment horizontal="center" shrinkToFit="1"/>
    </xf>
    <xf numFmtId="0" fontId="96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0" fontId="114" fillId="95" borderId="16" xfId="0" applyFont="1" applyFill="1" applyBorder="1" applyAlignment="1">
      <alignment horizontal="center" shrinkToFit="1"/>
    </xf>
    <xf numFmtId="0" fontId="114" fillId="95" borderId="37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164" fontId="97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vertical="center"/>
    </xf>
    <xf numFmtId="1" fontId="98" fillId="79" borderId="37" xfId="0" applyNumberFormat="1" applyFont="1" applyFill="1" applyBorder="1" applyAlignment="1">
      <alignment horizontal="center" vertical="center"/>
    </xf>
    <xf numFmtId="164" fontId="98" fillId="79" borderId="16" xfId="0" applyNumberFormat="1" applyFont="1" applyFill="1" applyBorder="1" applyAlignment="1">
      <alignment horizontal="center" shrinkToFit="1"/>
    </xf>
    <xf numFmtId="164" fontId="98" fillId="79" borderId="37" xfId="0" applyNumberFormat="1" applyFont="1" applyFill="1" applyBorder="1" applyAlignment="1">
      <alignment horizontal="center" shrinkToFit="1"/>
    </xf>
    <xf numFmtId="0" fontId="20" fillId="79" borderId="10" xfId="0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shrinkToFit="1"/>
    </xf>
    <xf numFmtId="0" fontId="114" fillId="95" borderId="10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98" fillId="79" borderId="10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 vertical="center" wrapText="1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5" fillId="0" borderId="16" xfId="0" applyFont="1" applyBorder="1" applyAlignment="1">
      <alignment horizontal="left" vertical="center"/>
    </xf>
    <xf numFmtId="0" fontId="135" fillId="0" borderId="38" xfId="0" applyFont="1" applyBorder="1" applyAlignment="1">
      <alignment horizontal="left" vertical="center"/>
    </xf>
    <xf numFmtId="0" fontId="135" fillId="0" borderId="37" xfId="0" applyFont="1" applyBorder="1" applyAlignment="1">
      <alignment horizontal="left" vertical="center"/>
    </xf>
    <xf numFmtId="0" fontId="136" fillId="0" borderId="10" xfId="0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16" fillId="0" borderId="16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7" xfId="0" applyFont="1" applyBorder="1" applyAlignment="1">
      <alignment horizontal="center" vertical="center"/>
    </xf>
    <xf numFmtId="0" fontId="136" fillId="0" borderId="16" xfId="0" applyFont="1" applyBorder="1" applyAlignment="1">
      <alignment horizontal="center" vertical="center"/>
    </xf>
    <xf numFmtId="0" fontId="136" fillId="0" borderId="38" xfId="0" applyFont="1" applyBorder="1" applyAlignment="1">
      <alignment horizontal="center" vertical="center"/>
    </xf>
    <xf numFmtId="0" fontId="136" fillId="0" borderId="37" xfId="0" applyFont="1" applyBorder="1" applyAlignment="1">
      <alignment horizontal="center" vertical="center"/>
    </xf>
    <xf numFmtId="0" fontId="133" fillId="0" borderId="16" xfId="0" applyFont="1" applyBorder="1" applyAlignment="1">
      <alignment horizontal="center" vertical="center"/>
    </xf>
    <xf numFmtId="0" fontId="133" fillId="0" borderId="38" xfId="0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164" fontId="133" fillId="75" borderId="15" xfId="0" applyNumberFormat="1" applyFont="1" applyFill="1" applyBorder="1" applyAlignment="1">
      <alignment horizontal="center"/>
    </xf>
    <xf numFmtId="0" fontId="115" fillId="0" borderId="0" xfId="0" applyFont="1" applyAlignment="1">
      <alignment horizontal="center"/>
    </xf>
    <xf numFmtId="0" fontId="115" fillId="0" borderId="17" xfId="0" applyFont="1" applyBorder="1" applyAlignment="1">
      <alignment horizontal="center"/>
    </xf>
    <xf numFmtId="0" fontId="133" fillId="75" borderId="15" xfId="0" applyFont="1" applyFill="1" applyBorder="1" applyAlignment="1">
      <alignment horizont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4" fillId="89" borderId="100" xfId="0" applyFont="1" applyFill="1" applyBorder="1" applyAlignment="1">
      <alignment horizontal="center" vertical="center"/>
    </xf>
    <xf numFmtId="0" fontId="114" fillId="89" borderId="102" xfId="0" applyFont="1" applyFill="1" applyBorder="1" applyAlignment="1">
      <alignment horizontal="center" vertical="center"/>
    </xf>
    <xf numFmtId="0" fontId="114" fillId="90" borderId="97" xfId="0" applyFont="1" applyFill="1" applyBorder="1" applyAlignment="1">
      <alignment horizontal="center" vertical="center"/>
    </xf>
    <xf numFmtId="0" fontId="114" fillId="90" borderId="99" xfId="0" applyFont="1" applyFill="1" applyBorder="1" applyAlignment="1">
      <alignment horizontal="center" vertical="center"/>
    </xf>
    <xf numFmtId="0" fontId="114" fillId="90" borderId="100" xfId="0" applyFont="1" applyFill="1" applyBorder="1" applyAlignment="1">
      <alignment horizontal="center" vertical="center"/>
    </xf>
    <xf numFmtId="0" fontId="114" fillId="90" borderId="102" xfId="0" applyFont="1" applyFill="1" applyBorder="1" applyAlignment="1">
      <alignment horizontal="center" vertical="center"/>
    </xf>
    <xf numFmtId="0" fontId="108" fillId="90" borderId="97" xfId="0" applyFont="1" applyFill="1" applyBorder="1" applyAlignment="1">
      <alignment horizontal="left" vertical="center"/>
    </xf>
    <xf numFmtId="0" fontId="108" fillId="90" borderId="98" xfId="0" applyFont="1" applyFill="1" applyBorder="1" applyAlignment="1">
      <alignment horizontal="left" vertical="center"/>
    </xf>
    <xf numFmtId="0" fontId="108" fillId="90" borderId="99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22" fillId="90" borderId="100" xfId="0" applyFont="1" applyFill="1" applyBorder="1" applyAlignment="1">
      <alignment horizontal="left" vertical="center"/>
    </xf>
    <xf numFmtId="0" fontId="122" fillId="90" borderId="101" xfId="0" applyFont="1" applyFill="1" applyBorder="1" applyAlignment="1">
      <alignment horizontal="left" vertical="center"/>
    </xf>
    <xf numFmtId="0" fontId="122" fillId="90" borderId="102" xfId="0" applyFont="1" applyFill="1" applyBorder="1" applyAlignment="1">
      <alignment horizontal="left" vertical="center"/>
    </xf>
    <xf numFmtId="0" fontId="108" fillId="89" borderId="97" xfId="0" applyFont="1" applyFill="1" applyBorder="1" applyAlignment="1">
      <alignment horizontal="left" vertical="center"/>
    </xf>
    <xf numFmtId="0" fontId="108" fillId="89" borderId="98" xfId="0" applyFont="1" applyFill="1" applyBorder="1" applyAlignment="1">
      <alignment horizontal="left" vertical="center"/>
    </xf>
    <xf numFmtId="0" fontId="108" fillId="89" borderId="99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22" fillId="89" borderId="101" xfId="0" applyFont="1" applyFill="1" applyBorder="1" applyAlignment="1">
      <alignment horizontal="left" vertical="center"/>
    </xf>
    <xf numFmtId="0" fontId="122" fillId="89" borderId="102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123" fillId="0" borderId="0" xfId="0" applyFont="1" applyAlignment="1">
      <alignment horizontal="center"/>
    </xf>
    <xf numFmtId="0" fontId="114" fillId="91" borderId="133" xfId="0" applyFont="1" applyFill="1" applyBorder="1" applyAlignment="1">
      <alignment horizontal="center" vertical="center"/>
    </xf>
    <xf numFmtId="0" fontId="114" fillId="91" borderId="135" xfId="0" applyFont="1" applyFill="1" applyBorder="1" applyAlignment="1">
      <alignment horizontal="center" vertical="center"/>
    </xf>
    <xf numFmtId="0" fontId="114" fillId="91" borderId="136" xfId="0" applyFont="1" applyFill="1" applyBorder="1" applyAlignment="1">
      <alignment horizontal="center" vertical="center"/>
    </xf>
    <xf numFmtId="0" fontId="109" fillId="72" borderId="103" xfId="0" applyFont="1" applyFill="1" applyBorder="1" applyAlignment="1">
      <alignment horizontal="center" vertical="center"/>
    </xf>
    <xf numFmtId="0" fontId="109" fillId="72" borderId="104" xfId="0" applyFont="1" applyFill="1" applyBorder="1" applyAlignment="1">
      <alignment horizontal="center" vertical="center"/>
    </xf>
    <xf numFmtId="0" fontId="109" fillId="72" borderId="105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11" xfId="0" applyFont="1" applyBorder="1" applyAlignment="1">
      <alignment horizontal="center" vertical="center"/>
    </xf>
    <xf numFmtId="0" fontId="114" fillId="91" borderId="100" xfId="0" applyFont="1" applyFill="1" applyBorder="1" applyAlignment="1">
      <alignment horizontal="center" vertical="center"/>
    </xf>
    <xf numFmtId="0" fontId="114" fillId="91" borderId="101" xfId="0" applyFont="1" applyFill="1" applyBorder="1" applyAlignment="1">
      <alignment horizontal="center" vertical="center"/>
    </xf>
    <xf numFmtId="0" fontId="114" fillId="91" borderId="132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73" borderId="130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114" fillId="91" borderId="97" xfId="0" applyFont="1" applyFill="1" applyBorder="1" applyAlignment="1">
      <alignment horizontal="center" vertical="center"/>
    </xf>
    <xf numFmtId="0" fontId="114" fillId="91" borderId="98" xfId="0" applyFont="1" applyFill="1" applyBorder="1" applyAlignment="1">
      <alignment horizontal="center" vertical="center"/>
    </xf>
    <xf numFmtId="0" fontId="114" fillId="91" borderId="131" xfId="0" applyFont="1" applyFill="1" applyBorder="1" applyAlignment="1">
      <alignment horizontal="center" vertical="center"/>
    </xf>
    <xf numFmtId="0" fontId="114" fillId="90" borderId="133" xfId="0" applyFont="1" applyFill="1" applyBorder="1" applyAlignment="1">
      <alignment horizontal="center" vertical="center"/>
    </xf>
    <xf numFmtId="0" fontId="114" fillId="90" borderId="134" xfId="0" applyFont="1" applyFill="1" applyBorder="1" applyAlignment="1">
      <alignment horizontal="center" vertical="center"/>
    </xf>
    <xf numFmtId="0" fontId="114" fillId="89" borderId="133" xfId="0" applyFont="1" applyFill="1" applyBorder="1" applyAlignment="1">
      <alignment horizontal="center" vertical="center"/>
    </xf>
    <xf numFmtId="0" fontId="114" fillId="89" borderId="134" xfId="0" applyFont="1" applyFill="1" applyBorder="1" applyAlignment="1">
      <alignment horizontal="center" vertical="center"/>
    </xf>
    <xf numFmtId="0" fontId="108" fillId="89" borderId="133" xfId="0" applyFont="1" applyFill="1" applyBorder="1" applyAlignment="1">
      <alignment horizontal="left" vertical="center"/>
    </xf>
    <xf numFmtId="0" fontId="108" fillId="89" borderId="135" xfId="0" applyFont="1" applyFill="1" applyBorder="1" applyAlignment="1">
      <alignment horizontal="left" vertical="center"/>
    </xf>
    <xf numFmtId="0" fontId="108" fillId="89" borderId="134" xfId="0" applyFont="1" applyFill="1" applyBorder="1" applyAlignment="1">
      <alignment horizontal="left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114" fillId="88" borderId="100" xfId="0" applyFont="1" applyFill="1" applyBorder="1" applyAlignment="1">
      <alignment horizontal="center" vertical="center"/>
    </xf>
    <xf numFmtId="0" fontId="114" fillId="88" borderId="102" xfId="0" applyFont="1" applyFill="1" applyBorder="1" applyAlignment="1">
      <alignment horizontal="center" vertical="center"/>
    </xf>
    <xf numFmtId="0" fontId="108" fillId="88" borderId="133" xfId="0" applyFont="1" applyFill="1" applyBorder="1" applyAlignment="1">
      <alignment horizontal="left" vertical="center"/>
    </xf>
    <xf numFmtId="0" fontId="108" fillId="88" borderId="134" xfId="0" applyFont="1" applyFill="1" applyBorder="1" applyAlignment="1">
      <alignment horizontal="left" vertical="center"/>
    </xf>
    <xf numFmtId="0" fontId="114" fillId="88" borderId="133" xfId="0" applyFont="1" applyFill="1" applyBorder="1" applyAlignment="1">
      <alignment horizontal="center" vertical="center"/>
    </xf>
    <xf numFmtId="0" fontId="114" fillId="88" borderId="134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114" fillId="89" borderId="97" xfId="0" applyFont="1" applyFill="1" applyBorder="1" applyAlignment="1">
      <alignment horizontal="center" vertical="center"/>
    </xf>
    <xf numFmtId="0" fontId="114" fillId="89" borderId="99" xfId="0" applyFont="1" applyFill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4" fillId="88" borderId="97" xfId="0" applyFont="1" applyFill="1" applyBorder="1" applyAlignment="1">
      <alignment horizontal="center" vertical="center"/>
    </xf>
    <xf numFmtId="0" fontId="114" fillId="88" borderId="99" xfId="0" applyFont="1" applyFill="1" applyBorder="1" applyAlignment="1">
      <alignment horizontal="center" vertical="center"/>
    </xf>
    <xf numFmtId="0" fontId="108" fillId="88" borderId="97" xfId="0" applyFont="1" applyFill="1" applyBorder="1" applyAlignment="1">
      <alignment horizontal="left" vertical="center"/>
    </xf>
    <xf numFmtId="0" fontId="108" fillId="88" borderId="99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0" fillId="0" borderId="0" xfId="0" applyFont="1" applyAlignment="1">
      <alignment horizontal="center" wrapText="1"/>
    </xf>
    <xf numFmtId="0" fontId="111" fillId="0" borderId="0" xfId="0" applyFont="1" applyAlignment="1">
      <alignment horizontal="center"/>
    </xf>
    <xf numFmtId="0" fontId="121" fillId="75" borderId="108" xfId="0" applyFont="1" applyFill="1" applyBorder="1" applyAlignment="1">
      <alignment horizontal="center"/>
    </xf>
    <xf numFmtId="0" fontId="121" fillId="75" borderId="120" xfId="0" applyFont="1" applyFill="1" applyBorder="1" applyAlignment="1">
      <alignment horizontal="center"/>
    </xf>
    <xf numFmtId="0" fontId="121" fillId="75" borderId="107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8" xfId="0" applyFont="1" applyFill="1" applyBorder="1" applyAlignment="1">
      <alignment horizontal="center" vertical="center"/>
    </xf>
    <xf numFmtId="0" fontId="97" fillId="75" borderId="46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0" fillId="0" borderId="35" xfId="0" applyFont="1" applyBorder="1" applyAlignment="1">
      <alignment horizontal="center" vertical="center"/>
    </xf>
    <xf numFmtId="0" fontId="110" fillId="0" borderId="48" xfId="0" applyFont="1" applyBorder="1" applyAlignment="1">
      <alignment horizontal="center" vertical="center"/>
    </xf>
    <xf numFmtId="0" fontId="110" fillId="0" borderId="46" xfId="0" applyFont="1" applyBorder="1" applyAlignment="1">
      <alignment horizontal="center" vertical="center"/>
    </xf>
    <xf numFmtId="0" fontId="110" fillId="87" borderId="35" xfId="0" applyFont="1" applyFill="1" applyBorder="1" applyAlignment="1">
      <alignment horizontal="center" vertical="center"/>
    </xf>
    <xf numFmtId="0" fontId="110" fillId="87" borderId="48" xfId="0" applyFont="1" applyFill="1" applyBorder="1" applyAlignment="1">
      <alignment horizontal="center" vertical="center"/>
    </xf>
    <xf numFmtId="0" fontId="110" fillId="87" borderId="46" xfId="0" applyFont="1" applyFill="1" applyBorder="1" applyAlignment="1">
      <alignment horizontal="center" vertical="center"/>
    </xf>
    <xf numFmtId="0" fontId="109" fillId="72" borderId="11" xfId="0" applyFont="1" applyFill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10" fillId="0" borderId="113" xfId="0" applyFont="1" applyBorder="1" applyAlignment="1">
      <alignment horizontal="center" vertical="center"/>
    </xf>
    <xf numFmtId="0" fontId="128" fillId="81" borderId="10" xfId="0" applyFont="1" applyFill="1" applyBorder="1" applyAlignment="1">
      <alignment horizontal="center" vertical="center" textRotation="90"/>
    </xf>
    <xf numFmtId="0" fontId="128" fillId="0" borderId="17" xfId="0" applyFont="1" applyBorder="1" applyAlignment="1">
      <alignment horizontal="center"/>
    </xf>
    <xf numFmtId="0" fontId="128" fillId="0" borderId="106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8" fillId="85" borderId="15" xfId="0" applyFont="1" applyFill="1" applyBorder="1" applyAlignment="1">
      <alignment horizontal="center" vertical="top"/>
    </xf>
    <xf numFmtId="49" fontId="112" fillId="86" borderId="55" xfId="0" applyNumberFormat="1" applyFont="1" applyFill="1" applyBorder="1" applyAlignment="1">
      <alignment horizontal="center"/>
    </xf>
    <xf numFmtId="49" fontId="112" fillId="86" borderId="65" xfId="0" applyNumberFormat="1" applyFont="1" applyFill="1" applyBorder="1" applyAlignment="1">
      <alignment horizontal="center"/>
    </xf>
    <xf numFmtId="0" fontId="10" fillId="86" borderId="55" xfId="0" applyFont="1" applyFill="1" applyBorder="1" applyAlignment="1">
      <alignment horizontal="center" vertical="center"/>
    </xf>
    <xf numFmtId="0" fontId="10" fillId="86" borderId="36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0" fillId="86" borderId="42" xfId="0" applyFont="1" applyFill="1" applyBorder="1" applyAlignment="1">
      <alignment horizontal="center" vertical="top"/>
    </xf>
    <xf numFmtId="0" fontId="100" fillId="86" borderId="66" xfId="0" applyFont="1" applyFill="1" applyBorder="1" applyAlignment="1">
      <alignment horizontal="center" vertical="top"/>
    </xf>
    <xf numFmtId="0" fontId="128" fillId="0" borderId="66" xfId="0" applyFont="1" applyBorder="1" applyAlignment="1">
      <alignment horizontal="center"/>
    </xf>
    <xf numFmtId="0" fontId="128" fillId="0" borderId="38" xfId="0" applyFont="1" applyBorder="1" applyAlignment="1">
      <alignment horizontal="center" vertical="top"/>
    </xf>
    <xf numFmtId="0" fontId="66" fillId="86" borderId="51" xfId="0" applyFont="1" applyFill="1" applyBorder="1" applyAlignment="1">
      <alignment horizontal="center" vertical="center"/>
    </xf>
    <xf numFmtId="0" fontId="66" fillId="86" borderId="10" xfId="0" applyFont="1" applyFill="1" applyBorder="1" applyAlignment="1">
      <alignment horizontal="center" vertical="center"/>
    </xf>
    <xf numFmtId="0" fontId="100" fillId="86" borderId="54" xfId="0" applyFont="1" applyFill="1" applyBorder="1" applyAlignment="1">
      <alignment horizontal="center" vertical="top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6" fillId="86" borderId="51" xfId="0" applyFont="1" applyFill="1" applyBorder="1" applyAlignment="1">
      <alignment horizontal="center"/>
    </xf>
    <xf numFmtId="0" fontId="66" fillId="86" borderId="10" xfId="0" applyFont="1" applyFill="1" applyBorder="1" applyAlignment="1">
      <alignment horizontal="center"/>
    </xf>
    <xf numFmtId="49" fontId="112" fillId="86" borderId="36" xfId="0" applyNumberFormat="1" applyFont="1" applyFill="1" applyBorder="1" applyAlignment="1">
      <alignment horizontal="center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0" fontId="66" fillId="86" borderId="40" xfId="0" applyFont="1" applyFill="1" applyBorder="1" applyAlignment="1">
      <alignment horizontal="center" vertical="center" textRotation="90"/>
    </xf>
    <xf numFmtId="0" fontId="66" fillId="86" borderId="63" xfId="0" applyFont="1" applyFill="1" applyBorder="1" applyAlignment="1">
      <alignment horizontal="center" vertical="center" textRotation="90"/>
    </xf>
    <xf numFmtId="0" fontId="112" fillId="86" borderId="56" xfId="0" applyFont="1" applyFill="1" applyBorder="1" applyAlignment="1">
      <alignment horizontal="center" vertical="top"/>
    </xf>
    <xf numFmtId="0" fontId="112" fillId="86" borderId="58" xfId="0" applyFont="1" applyFill="1" applyBorder="1" applyAlignment="1">
      <alignment horizontal="center" vertical="top"/>
    </xf>
    <xf numFmtId="0" fontId="100" fillId="86" borderId="56" xfId="0" applyFont="1" applyFill="1" applyBorder="1" applyAlignment="1">
      <alignment horizontal="center" vertical="top"/>
    </xf>
    <xf numFmtId="0" fontId="100" fillId="86" borderId="58" xfId="0" applyFont="1" applyFill="1" applyBorder="1" applyAlignment="1">
      <alignment horizontal="center" vertical="top"/>
    </xf>
    <xf numFmtId="0" fontId="9" fillId="86" borderId="10" xfId="0" applyFont="1" applyFill="1" applyBorder="1" applyAlignment="1">
      <alignment horizontal="center" vertical="center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17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66" fillId="86" borderId="16" xfId="0" applyFont="1" applyFill="1" applyBorder="1" applyAlignment="1">
      <alignment horizontal="center" vertical="center"/>
    </xf>
    <xf numFmtId="0" fontId="66" fillId="86" borderId="38" xfId="0" applyFont="1" applyFill="1" applyBorder="1" applyAlignment="1">
      <alignment horizontal="center" vertical="center"/>
    </xf>
    <xf numFmtId="0" fontId="66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6" borderId="42" xfId="0" applyFont="1" applyFill="1" applyBorder="1" applyAlignment="1">
      <alignment horizontal="center"/>
    </xf>
    <xf numFmtId="0" fontId="100" fillId="86" borderId="54" xfId="0" applyFont="1" applyFill="1" applyBorder="1" applyAlignment="1">
      <alignment horizontal="center"/>
    </xf>
    <xf numFmtId="49" fontId="5" fillId="86" borderId="5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32" fillId="86" borderId="33" xfId="0" applyFont="1" applyFill="1" applyBorder="1" applyAlignment="1">
      <alignment horizontal="center" vertical="center" textRotation="90"/>
    </xf>
    <xf numFmtId="0" fontId="132" fillId="86" borderId="40" xfId="0" applyFont="1" applyFill="1" applyBorder="1" applyAlignment="1">
      <alignment horizontal="center" vertical="center" textRotation="90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100" fillId="86" borderId="62" xfId="0" applyFont="1" applyFill="1" applyBorder="1" applyAlignment="1">
      <alignment horizontal="center" vertical="top"/>
    </xf>
    <xf numFmtId="0" fontId="100" fillId="86" borderId="39" xfId="0" applyFont="1" applyFill="1" applyBorder="1" applyAlignment="1">
      <alignment horizontal="center" vertical="top"/>
    </xf>
    <xf numFmtId="0" fontId="100" fillId="86" borderId="94" xfId="0" applyFont="1" applyFill="1" applyBorder="1" applyAlignment="1">
      <alignment horizontal="center" vertical="top"/>
    </xf>
    <xf numFmtId="0" fontId="121" fillId="71" borderId="19" xfId="0" applyFont="1" applyFill="1" applyBorder="1" applyAlignment="1">
      <alignment horizontal="center" vertical="center"/>
    </xf>
    <xf numFmtId="0" fontId="121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8" fillId="84" borderId="10" xfId="0" applyFont="1" applyFill="1" applyBorder="1" applyAlignment="1">
      <alignment horizontal="center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2" fillId="83" borderId="55" xfId="0" applyFont="1" applyFill="1" applyBorder="1" applyAlignment="1">
      <alignment horizontal="center" vertical="center" wrapText="1"/>
    </xf>
    <xf numFmtId="0" fontId="102" fillId="83" borderId="15" xfId="0" applyFont="1" applyFill="1" applyBorder="1" applyAlignment="1">
      <alignment horizontal="center" vertical="center" wrapText="1"/>
    </xf>
    <xf numFmtId="0" fontId="102" fillId="83" borderId="89" xfId="0" applyFont="1" applyFill="1" applyBorder="1" applyAlignment="1">
      <alignment horizontal="center" vertical="center" wrapText="1"/>
    </xf>
    <xf numFmtId="0" fontId="102" fillId="83" borderId="62" xfId="0" applyFont="1" applyFill="1" applyBorder="1" applyAlignment="1">
      <alignment horizontal="center" vertical="center" wrapText="1"/>
    </xf>
    <xf numFmtId="0" fontId="102" fillId="83" borderId="0" xfId="0" applyFont="1" applyFill="1" applyAlignment="1">
      <alignment horizontal="center" vertical="center" wrapText="1"/>
    </xf>
    <xf numFmtId="0" fontId="102" fillId="83" borderId="22" xfId="0" applyFont="1" applyFill="1" applyBorder="1" applyAlignment="1">
      <alignment horizontal="center" vertical="center" wrapText="1"/>
    </xf>
    <xf numFmtId="0" fontId="102" fillId="83" borderId="42" xfId="0" applyFont="1" applyFill="1" applyBorder="1" applyAlignment="1">
      <alignment horizontal="center" vertical="center" wrapText="1"/>
    </xf>
    <xf numFmtId="0" fontId="102" fillId="83" borderId="17" xfId="0" applyFont="1" applyFill="1" applyBorder="1" applyAlignment="1">
      <alignment horizontal="center" vertical="center" wrapText="1"/>
    </xf>
    <xf numFmtId="0" fontId="102" fillId="83" borderId="91" xfId="0" applyFont="1" applyFill="1" applyBorder="1" applyAlignment="1">
      <alignment horizontal="center" vertical="center" wrapText="1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2" fillId="72" borderId="93" xfId="0" applyFont="1" applyFill="1" applyBorder="1" applyAlignment="1">
      <alignment horizontal="center" vertical="center" shrinkToFit="1"/>
    </xf>
    <xf numFmtId="0" fontId="122" fillId="72" borderId="37" xfId="0" applyFont="1" applyFill="1" applyBorder="1" applyAlignment="1">
      <alignment horizontal="center" vertical="center" shrinkToFit="1"/>
    </xf>
    <xf numFmtId="0" fontId="120" fillId="0" borderId="16" xfId="0" applyFont="1" applyBorder="1" applyAlignment="1">
      <alignment horizontal="center"/>
    </xf>
    <xf numFmtId="0" fontId="120" fillId="0" borderId="38" xfId="0" applyFont="1" applyBorder="1" applyAlignment="1">
      <alignment horizontal="center"/>
    </xf>
    <xf numFmtId="0" fontId="98" fillId="72" borderId="55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2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10" fillId="86" borderId="89" xfId="0" applyFont="1" applyFill="1" applyBorder="1" applyAlignment="1">
      <alignment horizontal="center" vertical="center"/>
    </xf>
    <xf numFmtId="0" fontId="138" fillId="87" borderId="0" xfId="0" applyFont="1" applyFill="1" applyAlignment="1">
      <alignment horizontal="center" wrapText="1"/>
    </xf>
    <xf numFmtId="49" fontId="5" fillId="86" borderId="15" xfId="0" applyNumberFormat="1" applyFont="1" applyFill="1" applyBorder="1" applyAlignment="1">
      <alignment horizontal="center"/>
    </xf>
    <xf numFmtId="0" fontId="158" fillId="86" borderId="42" xfId="0" applyFont="1" applyFill="1" applyBorder="1" applyAlignment="1">
      <alignment horizontal="center" vertical="top"/>
    </xf>
    <xf numFmtId="0" fontId="158" fillId="86" borderId="17" xfId="0" applyFont="1" applyFill="1" applyBorder="1" applyAlignment="1">
      <alignment horizontal="center" vertical="top"/>
    </xf>
    <xf numFmtId="0" fontId="158" fillId="86" borderId="54" xfId="0" applyFont="1" applyFill="1" applyBorder="1" applyAlignment="1">
      <alignment horizontal="center" vertical="top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52</xdr:row>
      <xdr:rowOff>123825</xdr:rowOff>
    </xdr:from>
    <xdr:to>
      <xdr:col>9</xdr:col>
      <xdr:colOff>38100</xdr:colOff>
      <xdr:row>54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="" xmlns:a16="http://schemas.microsoft.com/office/drawing/2014/main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="" xmlns:a16="http://schemas.microsoft.com/office/drawing/2014/main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="" xmlns:a16="http://schemas.microsoft.com/office/drawing/2014/main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="" xmlns:a16="http://schemas.microsoft.com/office/drawing/2014/main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="" xmlns:a16="http://schemas.microsoft.com/office/drawing/2014/main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P76"/>
  <sheetViews>
    <sheetView topLeftCell="A49" zoomScaleNormal="100" workbookViewId="0">
      <selection activeCell="O50" sqref="O50"/>
    </sheetView>
  </sheetViews>
  <sheetFormatPr defaultColWidth="9" defaultRowHeight="12" x14ac:dyDescent="0.2"/>
  <cols>
    <col min="1" max="1" width="3.125" style="34" bestFit="1" customWidth="1"/>
    <col min="2" max="2" width="3.5" style="34" bestFit="1" customWidth="1"/>
    <col min="3" max="3" width="17.625" style="9" bestFit="1" customWidth="1"/>
    <col min="4" max="4" width="2.75" style="34" bestFit="1" customWidth="1"/>
    <col min="5" max="5" width="2.5" style="34" bestFit="1" customWidth="1"/>
    <col min="6" max="7" width="2.5" style="34" customWidth="1"/>
    <col min="8" max="8" width="6.75" style="34" bestFit="1" customWidth="1"/>
    <col min="9" max="9" width="6.25" style="34" bestFit="1" customWidth="1"/>
    <col min="10" max="10" width="5.125" style="34" bestFit="1" customWidth="1"/>
    <col min="11" max="11" width="4.625" style="34" customWidth="1"/>
    <col min="12" max="12" width="4.75" style="34" customWidth="1"/>
    <col min="13" max="13" width="7.2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 x14ac:dyDescent="0.25">
      <c r="A1" s="504" t="s">
        <v>332</v>
      </c>
      <c r="B1" s="505"/>
      <c r="C1" s="505"/>
      <c r="D1" s="505"/>
      <c r="E1" s="505"/>
      <c r="F1" s="505"/>
      <c r="G1" s="505"/>
      <c r="H1" s="505"/>
      <c r="I1" s="506" t="s">
        <v>330</v>
      </c>
      <c r="J1" s="507"/>
      <c r="K1" s="507"/>
      <c r="L1" s="507"/>
      <c r="M1" s="507"/>
      <c r="N1" s="507"/>
      <c r="O1" s="507"/>
      <c r="P1" s="507"/>
    </row>
    <row r="2" spans="1:16" ht="22.5" customHeight="1" x14ac:dyDescent="0.2">
      <c r="A2" s="508" t="s">
        <v>331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327</v>
      </c>
      <c r="E3" s="2" t="s">
        <v>8</v>
      </c>
      <c r="F3" s="2" t="s">
        <v>328</v>
      </c>
      <c r="G3" s="2" t="s">
        <v>329</v>
      </c>
      <c r="H3" s="2" t="s">
        <v>318</v>
      </c>
      <c r="I3" s="2" t="s">
        <v>9</v>
      </c>
      <c r="J3" s="2" t="s">
        <v>333</v>
      </c>
      <c r="K3" s="2" t="s">
        <v>422</v>
      </c>
      <c r="L3" s="2" t="s">
        <v>423</v>
      </c>
      <c r="M3" s="40" t="s">
        <v>472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2">
        <v>1</v>
      </c>
      <c r="B4" s="13" t="s">
        <v>13</v>
      </c>
      <c r="C4" s="14" t="s">
        <v>115</v>
      </c>
      <c r="D4" s="12"/>
      <c r="E4" s="12"/>
      <c r="F4" s="12"/>
      <c r="G4" s="12"/>
      <c r="H4" s="12" t="s">
        <v>319</v>
      </c>
      <c r="I4" s="12" t="s">
        <v>17</v>
      </c>
      <c r="J4" s="12"/>
      <c r="K4" s="360" t="s">
        <v>215</v>
      </c>
      <c r="L4" s="360" t="s">
        <v>148</v>
      </c>
      <c r="M4" s="117" t="s">
        <v>124</v>
      </c>
      <c r="N4" s="12">
        <f t="shared" ref="N4:N35" si="0">17-(IF(I4="HT",15,IF(I4="PHT",13,0))+IF(I4="GVTS",2,0))</f>
        <v>17</v>
      </c>
      <c r="O4" s="8">
        <f t="shared" ref="O4:O10" si="1"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 t="s">
        <v>298</v>
      </c>
    </row>
    <row r="5" spans="1:16" ht="12.75" x14ac:dyDescent="0.2">
      <c r="A5" s="12">
        <v>2</v>
      </c>
      <c r="B5" s="13" t="s">
        <v>45</v>
      </c>
      <c r="C5" s="14" t="s">
        <v>117</v>
      </c>
      <c r="D5" s="12"/>
      <c r="E5" s="12"/>
      <c r="F5" s="12"/>
      <c r="G5" s="12"/>
      <c r="H5" s="12" t="s">
        <v>319</v>
      </c>
      <c r="I5" s="12" t="s">
        <v>218</v>
      </c>
      <c r="J5" s="12"/>
      <c r="K5" s="360" t="s">
        <v>200</v>
      </c>
      <c r="L5" s="360" t="s">
        <v>202</v>
      </c>
      <c r="M5" s="117" t="s">
        <v>140</v>
      </c>
      <c r="N5" s="12">
        <f t="shared" si="0"/>
        <v>17</v>
      </c>
      <c r="O5" s="8">
        <f t="shared" si="1"/>
        <v>3</v>
      </c>
      <c r="P5" s="12"/>
    </row>
    <row r="6" spans="1:16" ht="13.15" customHeight="1" x14ac:dyDescent="0.2">
      <c r="A6" s="12">
        <v>3</v>
      </c>
      <c r="B6" s="13" t="s">
        <v>46</v>
      </c>
      <c r="C6" s="14" t="s">
        <v>118</v>
      </c>
      <c r="D6" s="12" t="s">
        <v>298</v>
      </c>
      <c r="E6" s="12"/>
      <c r="F6" s="12"/>
      <c r="G6" s="12"/>
      <c r="H6" s="12" t="s">
        <v>319</v>
      </c>
      <c r="I6" s="12" t="s">
        <v>366</v>
      </c>
      <c r="J6" s="12"/>
      <c r="K6" s="360"/>
      <c r="L6" s="360"/>
      <c r="M6" s="117"/>
      <c r="N6" s="12">
        <f t="shared" si="0"/>
        <v>17</v>
      </c>
      <c r="O6" s="8">
        <f t="shared" si="1"/>
        <v>4</v>
      </c>
      <c r="P6" s="12"/>
    </row>
    <row r="7" spans="1:16" ht="12.75" x14ac:dyDescent="0.2">
      <c r="A7" s="12">
        <v>4</v>
      </c>
      <c r="B7" s="13" t="s">
        <v>47</v>
      </c>
      <c r="C7" s="14" t="s">
        <v>119</v>
      </c>
      <c r="D7" s="12" t="s">
        <v>298</v>
      </c>
      <c r="E7" s="12" t="s">
        <v>298</v>
      </c>
      <c r="F7" s="12" t="s">
        <v>298</v>
      </c>
      <c r="G7" s="12"/>
      <c r="H7" s="12" t="s">
        <v>319</v>
      </c>
      <c r="I7" s="12" t="s">
        <v>17</v>
      </c>
      <c r="J7" s="12"/>
      <c r="K7" s="360" t="s">
        <v>21</v>
      </c>
      <c r="L7" s="360" t="s">
        <v>24</v>
      </c>
      <c r="M7" s="117" t="s">
        <v>30</v>
      </c>
      <c r="N7" s="12">
        <f t="shared" si="0"/>
        <v>17</v>
      </c>
      <c r="O7" s="8">
        <f t="shared" si="1"/>
        <v>0</v>
      </c>
      <c r="P7" s="12" t="s">
        <v>298</v>
      </c>
    </row>
    <row r="8" spans="1:16" ht="12.75" x14ac:dyDescent="0.2">
      <c r="A8" s="12">
        <v>5</v>
      </c>
      <c r="B8" s="13" t="s">
        <v>48</v>
      </c>
      <c r="C8" s="14" t="s">
        <v>120</v>
      </c>
      <c r="D8" s="12"/>
      <c r="E8" s="12"/>
      <c r="F8" s="12"/>
      <c r="G8" s="12"/>
      <c r="H8" s="12" t="s">
        <v>319</v>
      </c>
      <c r="I8" s="12" t="s">
        <v>17</v>
      </c>
      <c r="J8" s="12"/>
      <c r="K8" s="360" t="s">
        <v>202</v>
      </c>
      <c r="L8" s="360" t="s">
        <v>21</v>
      </c>
      <c r="M8" s="117"/>
      <c r="N8" s="12">
        <f t="shared" si="0"/>
        <v>17</v>
      </c>
      <c r="O8" s="8">
        <f t="shared" si="1"/>
        <v>0</v>
      </c>
      <c r="P8" s="12"/>
    </row>
    <row r="9" spans="1:16" ht="12.75" x14ac:dyDescent="0.2">
      <c r="A9" s="12">
        <v>6</v>
      </c>
      <c r="B9" s="13" t="s">
        <v>49</v>
      </c>
      <c r="C9" s="14" t="s">
        <v>122</v>
      </c>
      <c r="D9" s="12"/>
      <c r="E9" s="12" t="s">
        <v>298</v>
      </c>
      <c r="F9" s="12"/>
      <c r="G9" s="12"/>
      <c r="H9" s="12" t="s">
        <v>319</v>
      </c>
      <c r="I9" s="12" t="s">
        <v>15</v>
      </c>
      <c r="J9" s="12"/>
      <c r="K9" s="360"/>
      <c r="L9" s="360"/>
      <c r="M9" s="117"/>
      <c r="N9" s="12">
        <f t="shared" si="0"/>
        <v>17</v>
      </c>
      <c r="O9" s="8">
        <f t="shared" si="1"/>
        <v>3</v>
      </c>
      <c r="P9" s="12" t="s">
        <v>298</v>
      </c>
    </row>
    <row r="10" spans="1:16" ht="12.75" x14ac:dyDescent="0.2">
      <c r="A10" s="12">
        <v>7</v>
      </c>
      <c r="B10" s="13" t="s">
        <v>50</v>
      </c>
      <c r="C10" s="14" t="s">
        <v>123</v>
      </c>
      <c r="D10" s="12"/>
      <c r="E10" s="12" t="s">
        <v>298</v>
      </c>
      <c r="F10" s="12" t="s">
        <v>298</v>
      </c>
      <c r="G10" s="12"/>
      <c r="H10" s="12" t="s">
        <v>319</v>
      </c>
      <c r="I10" s="12" t="s">
        <v>17</v>
      </c>
      <c r="J10" s="12"/>
      <c r="K10" s="360" t="s">
        <v>18</v>
      </c>
      <c r="L10" s="360" t="s">
        <v>27</v>
      </c>
      <c r="M10" s="117" t="s">
        <v>197</v>
      </c>
      <c r="N10" s="12">
        <f t="shared" si="0"/>
        <v>17</v>
      </c>
      <c r="O10" s="8">
        <f t="shared" si="1"/>
        <v>0</v>
      </c>
      <c r="P10" s="12" t="s">
        <v>298</v>
      </c>
    </row>
    <row r="11" spans="1:16" ht="12.75" x14ac:dyDescent="0.2">
      <c r="A11" s="12">
        <v>8</v>
      </c>
      <c r="B11" s="13" t="s">
        <v>51</v>
      </c>
      <c r="C11" s="14" t="s">
        <v>125</v>
      </c>
      <c r="D11" s="12" t="s">
        <v>298</v>
      </c>
      <c r="E11" s="12"/>
      <c r="F11" s="12" t="s">
        <v>298</v>
      </c>
      <c r="G11" s="12"/>
      <c r="H11" s="12" t="s">
        <v>319</v>
      </c>
      <c r="I11" s="12" t="s">
        <v>217</v>
      </c>
      <c r="J11" s="12"/>
      <c r="K11" s="360" t="s">
        <v>24</v>
      </c>
      <c r="L11" s="360" t="s">
        <v>30</v>
      </c>
      <c r="M11" s="117" t="s">
        <v>198</v>
      </c>
      <c r="N11" s="12">
        <f t="shared" si="0"/>
        <v>17</v>
      </c>
      <c r="O11" s="8">
        <v>1</v>
      </c>
      <c r="P11" s="12" t="s">
        <v>298</v>
      </c>
    </row>
    <row r="12" spans="1:16" ht="12.75" x14ac:dyDescent="0.2">
      <c r="A12" s="12">
        <v>9</v>
      </c>
      <c r="B12" s="13" t="s">
        <v>53</v>
      </c>
      <c r="C12" s="14" t="s">
        <v>126</v>
      </c>
      <c r="D12" s="12" t="s">
        <v>298</v>
      </c>
      <c r="E12" s="12" t="s">
        <v>298</v>
      </c>
      <c r="F12" s="12"/>
      <c r="G12" s="12"/>
      <c r="H12" s="12" t="s">
        <v>319</v>
      </c>
      <c r="I12" s="12" t="s">
        <v>17</v>
      </c>
      <c r="J12" s="12"/>
      <c r="K12" s="360" t="s">
        <v>30</v>
      </c>
      <c r="L12" s="360" t="s">
        <v>199</v>
      </c>
      <c r="M12" s="117" t="s">
        <v>204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 t="s">
        <v>298</v>
      </c>
    </row>
    <row r="13" spans="1:16" ht="12.75" x14ac:dyDescent="0.2">
      <c r="A13" s="12">
        <v>10</v>
      </c>
      <c r="B13" s="13" t="s">
        <v>54</v>
      </c>
      <c r="C13" s="14" t="s">
        <v>127</v>
      </c>
      <c r="D13" s="12" t="s">
        <v>298</v>
      </c>
      <c r="E13" s="12" t="s">
        <v>298</v>
      </c>
      <c r="F13" s="12" t="s">
        <v>298</v>
      </c>
      <c r="G13" s="12"/>
      <c r="H13" s="12" t="s">
        <v>319</v>
      </c>
      <c r="I13" s="12" t="s">
        <v>17</v>
      </c>
      <c r="J13" s="12"/>
      <c r="K13" s="360" t="s">
        <v>203</v>
      </c>
      <c r="L13" s="360" t="s">
        <v>121</v>
      </c>
      <c r="M13" s="117"/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0</v>
      </c>
      <c r="P13" s="12" t="s">
        <v>298</v>
      </c>
    </row>
    <row r="14" spans="1:16" ht="12.75" x14ac:dyDescent="0.2">
      <c r="A14" s="12">
        <v>11</v>
      </c>
      <c r="B14" s="13" t="s">
        <v>55</v>
      </c>
      <c r="C14" s="14" t="s">
        <v>128</v>
      </c>
      <c r="D14" s="12" t="s">
        <v>298</v>
      </c>
      <c r="E14" s="12" t="s">
        <v>298</v>
      </c>
      <c r="F14" s="12"/>
      <c r="G14" s="12"/>
      <c r="H14" s="12" t="s">
        <v>319</v>
      </c>
      <c r="I14" s="12" t="s">
        <v>17</v>
      </c>
      <c r="J14" s="12"/>
      <c r="K14" s="360" t="s">
        <v>138</v>
      </c>
      <c r="L14" s="360" t="s">
        <v>140</v>
      </c>
      <c r="M14" s="117"/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 t="s">
        <v>298</v>
      </c>
    </row>
    <row r="15" spans="1:16" ht="14.25" customHeight="1" x14ac:dyDescent="0.2">
      <c r="A15" s="12">
        <v>12</v>
      </c>
      <c r="B15" s="17" t="s">
        <v>236</v>
      </c>
      <c r="C15" s="16" t="s">
        <v>237</v>
      </c>
      <c r="D15" s="12"/>
      <c r="E15" s="12"/>
      <c r="F15" s="12"/>
      <c r="G15" s="12"/>
      <c r="H15" s="12" t="s">
        <v>319</v>
      </c>
      <c r="I15" s="15" t="s">
        <v>429</v>
      </c>
      <c r="J15" s="12"/>
      <c r="K15" s="360" t="s">
        <v>173</v>
      </c>
      <c r="L15" s="360"/>
      <c r="M15" s="117"/>
      <c r="N15" s="12">
        <f t="shared" si="0"/>
        <v>17</v>
      </c>
      <c r="O15" s="8">
        <v>1</v>
      </c>
      <c r="P15" s="12"/>
    </row>
    <row r="16" spans="1:16" ht="12.75" x14ac:dyDescent="0.2">
      <c r="A16" s="12">
        <v>13</v>
      </c>
      <c r="B16" s="18" t="s">
        <v>57</v>
      </c>
      <c r="C16" s="19" t="s">
        <v>129</v>
      </c>
      <c r="D16" s="8" t="s">
        <v>298</v>
      </c>
      <c r="E16" s="8" t="s">
        <v>298</v>
      </c>
      <c r="F16" s="8"/>
      <c r="G16" s="8"/>
      <c r="H16" s="8" t="s">
        <v>23</v>
      </c>
      <c r="I16" s="8" t="s">
        <v>15</v>
      </c>
      <c r="J16" s="8" t="s">
        <v>25</v>
      </c>
      <c r="K16" s="361"/>
      <c r="L16" s="361"/>
      <c r="M16" s="118"/>
      <c r="N16" s="8">
        <f t="shared" si="0"/>
        <v>17</v>
      </c>
      <c r="O16" s="8">
        <v>5</v>
      </c>
      <c r="P16" s="8" t="s">
        <v>298</v>
      </c>
    </row>
    <row r="17" spans="1:16" ht="12.75" x14ac:dyDescent="0.2">
      <c r="A17" s="12">
        <v>14</v>
      </c>
      <c r="B17" s="18" t="s">
        <v>58</v>
      </c>
      <c r="C17" s="19" t="s">
        <v>130</v>
      </c>
      <c r="D17" s="8"/>
      <c r="E17" s="8"/>
      <c r="F17" s="8" t="s">
        <v>298</v>
      </c>
      <c r="G17" s="8"/>
      <c r="H17" s="8" t="s">
        <v>23</v>
      </c>
      <c r="I17" s="8" t="s">
        <v>17</v>
      </c>
      <c r="J17" s="8"/>
      <c r="K17" s="361" t="s">
        <v>199</v>
      </c>
      <c r="L17" s="361" t="s">
        <v>201</v>
      </c>
      <c r="M17" s="118" t="s">
        <v>219</v>
      </c>
      <c r="N17" s="8">
        <f t="shared" si="0"/>
        <v>17</v>
      </c>
      <c r="O17" s="8">
        <f>(IF(I17="HT",15,IF(I17="BTĐ",11.9,IF(I17="PHT",13,IF(I17="PBTĐ",5.95,IF(I17="giáo vụ",4,IF(OR(I17="TTCM",I17="CTCĐ",I17="LĐ",P17="Con nhỏ"),3,IF(OR(I17="TKHĐ",I17="TTrND"),2,0))))))+(IF(OR(J17="CĐ",J17="TVTL"),1,IF(J17="PBM",2,0)))))</f>
        <v>0</v>
      </c>
      <c r="P17" s="8"/>
    </row>
    <row r="18" spans="1:16" ht="12.75" x14ac:dyDescent="0.2">
      <c r="A18" s="12">
        <v>15</v>
      </c>
      <c r="B18" s="18" t="s">
        <v>59</v>
      </c>
      <c r="C18" s="19" t="s">
        <v>131</v>
      </c>
      <c r="D18" s="8" t="s">
        <v>298</v>
      </c>
      <c r="E18" s="8"/>
      <c r="F18" s="8"/>
      <c r="G18" s="8"/>
      <c r="H18" s="8" t="s">
        <v>23</v>
      </c>
      <c r="I18" s="8" t="s">
        <v>17</v>
      </c>
      <c r="J18" s="8"/>
      <c r="K18" s="361" t="s">
        <v>196</v>
      </c>
      <c r="L18" s="361" t="s">
        <v>204</v>
      </c>
      <c r="M18" s="118" t="s">
        <v>121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 x14ac:dyDescent="0.2">
      <c r="A19" s="12">
        <v>16</v>
      </c>
      <c r="B19" s="18" t="s">
        <v>60</v>
      </c>
      <c r="C19" s="19" t="s">
        <v>132</v>
      </c>
      <c r="D19" s="8"/>
      <c r="E19" s="8"/>
      <c r="F19" s="8" t="s">
        <v>298</v>
      </c>
      <c r="G19" s="8"/>
      <c r="H19" s="8" t="s">
        <v>23</v>
      </c>
      <c r="I19" s="8" t="s">
        <v>17</v>
      </c>
      <c r="J19" s="8"/>
      <c r="K19" s="361" t="s">
        <v>20</v>
      </c>
      <c r="L19" s="361" t="s">
        <v>198</v>
      </c>
      <c r="M19" s="118" t="s">
        <v>203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 t="s">
        <v>298</v>
      </c>
    </row>
    <row r="20" spans="1:16" ht="12.75" x14ac:dyDescent="0.2">
      <c r="A20" s="12">
        <v>17</v>
      </c>
      <c r="B20" s="18" t="s">
        <v>61</v>
      </c>
      <c r="C20" s="19" t="s">
        <v>133</v>
      </c>
      <c r="D20" s="8" t="s">
        <v>298</v>
      </c>
      <c r="E20" s="8" t="s">
        <v>298</v>
      </c>
      <c r="F20" s="8"/>
      <c r="G20" s="8"/>
      <c r="H20" s="8" t="s">
        <v>23</v>
      </c>
      <c r="I20" s="8" t="s">
        <v>17</v>
      </c>
      <c r="J20" s="8"/>
      <c r="K20" s="361"/>
      <c r="L20" s="361" t="s">
        <v>203</v>
      </c>
      <c r="M20" s="118" t="s">
        <v>214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 t="s">
        <v>298</v>
      </c>
    </row>
    <row r="21" spans="1:16" ht="12.75" x14ac:dyDescent="0.2">
      <c r="A21" s="12">
        <v>18</v>
      </c>
      <c r="B21" s="18" t="s">
        <v>62</v>
      </c>
      <c r="C21" s="19" t="s">
        <v>134</v>
      </c>
      <c r="D21" s="8" t="s">
        <v>298</v>
      </c>
      <c r="E21" s="8" t="s">
        <v>298</v>
      </c>
      <c r="F21" s="8" t="s">
        <v>298</v>
      </c>
      <c r="G21" s="8" t="s">
        <v>298</v>
      </c>
      <c r="H21" s="8" t="s">
        <v>23</v>
      </c>
      <c r="I21" s="8" t="s">
        <v>17</v>
      </c>
      <c r="J21" s="8"/>
      <c r="K21" s="361"/>
      <c r="L21" s="361"/>
      <c r="M21" s="118"/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 x14ac:dyDescent="0.2">
      <c r="A22" s="12">
        <v>19</v>
      </c>
      <c r="B22" s="18" t="s">
        <v>63</v>
      </c>
      <c r="C22" s="19" t="s">
        <v>135</v>
      </c>
      <c r="D22" s="8" t="s">
        <v>298</v>
      </c>
      <c r="E22" s="8" t="s">
        <v>298</v>
      </c>
      <c r="F22" s="8" t="s">
        <v>298</v>
      </c>
      <c r="G22" s="8"/>
      <c r="H22" s="8" t="s">
        <v>23</v>
      </c>
      <c r="I22" s="8" t="s">
        <v>217</v>
      </c>
      <c r="J22" s="8"/>
      <c r="K22" s="361" t="s">
        <v>198</v>
      </c>
      <c r="L22" s="361"/>
      <c r="M22" s="118"/>
      <c r="N22" s="8">
        <f t="shared" si="0"/>
        <v>17</v>
      </c>
      <c r="O22" s="8">
        <v>1</v>
      </c>
      <c r="P22" s="8" t="s">
        <v>298</v>
      </c>
    </row>
    <row r="23" spans="1:16" ht="12.75" x14ac:dyDescent="0.2">
      <c r="A23" s="12">
        <v>20</v>
      </c>
      <c r="B23" s="21" t="s">
        <v>64</v>
      </c>
      <c r="C23" s="22" t="s">
        <v>136</v>
      </c>
      <c r="D23" s="20" t="s">
        <v>298</v>
      </c>
      <c r="E23" s="20" t="s">
        <v>298</v>
      </c>
      <c r="F23" s="20"/>
      <c r="G23" s="20"/>
      <c r="H23" s="20" t="s">
        <v>65</v>
      </c>
      <c r="I23" s="20" t="s">
        <v>16</v>
      </c>
      <c r="J23" s="20"/>
      <c r="K23" s="362"/>
      <c r="L23" s="362"/>
      <c r="M23" s="119"/>
      <c r="N23" s="20">
        <f t="shared" si="0"/>
        <v>4</v>
      </c>
      <c r="O23" s="8">
        <f>(IF(I23="HT",15,IF(I23="BTĐ",11.9,IF(I23="PHT",13,IF(I23="PBTĐ",5.95,IF(I23="giáo vụ",4,IF(OR(I23="TTCM",I23="CTCĐ",I23="LĐ",P23="Con nhỏ"),3,IF(OR(I23="TKHĐ",I23="TTrND"),2,0))))))+(IF(OR(J23="CĐ",J23="TVTL"),1,IF(J23="PBM",2,0)))))</f>
        <v>13</v>
      </c>
      <c r="P23" s="20" t="s">
        <v>298</v>
      </c>
    </row>
    <row r="24" spans="1:16" ht="12.75" x14ac:dyDescent="0.2">
      <c r="A24" s="12">
        <v>21</v>
      </c>
      <c r="B24" s="21" t="s">
        <v>66</v>
      </c>
      <c r="C24" s="22" t="s">
        <v>137</v>
      </c>
      <c r="D24" s="20"/>
      <c r="E24" s="20"/>
      <c r="F24" s="20"/>
      <c r="G24" s="20"/>
      <c r="H24" s="20" t="s">
        <v>65</v>
      </c>
      <c r="I24" s="20" t="s">
        <v>217</v>
      </c>
      <c r="J24" s="20" t="s">
        <v>217</v>
      </c>
      <c r="K24" s="362" t="s">
        <v>31</v>
      </c>
      <c r="L24" s="362" t="s">
        <v>18</v>
      </c>
      <c r="M24" s="119" t="s">
        <v>27</v>
      </c>
      <c r="N24" s="20">
        <f t="shared" si="0"/>
        <v>17</v>
      </c>
      <c r="O24" s="8">
        <v>1</v>
      </c>
      <c r="P24" s="20"/>
    </row>
    <row r="25" spans="1:16" ht="12.75" x14ac:dyDescent="0.2">
      <c r="A25" s="12">
        <v>22</v>
      </c>
      <c r="B25" s="21" t="s">
        <v>67</v>
      </c>
      <c r="C25" s="22" t="s">
        <v>139</v>
      </c>
      <c r="D25" s="20"/>
      <c r="E25" s="20"/>
      <c r="F25" s="20"/>
      <c r="G25" s="20"/>
      <c r="H25" s="20" t="s">
        <v>65</v>
      </c>
      <c r="I25" s="20" t="s">
        <v>17</v>
      </c>
      <c r="J25" s="20"/>
      <c r="K25" s="362" t="s">
        <v>121</v>
      </c>
      <c r="L25" s="362" t="s">
        <v>196</v>
      </c>
      <c r="M25" s="119" t="s">
        <v>138</v>
      </c>
      <c r="N25" s="20">
        <f t="shared" si="0"/>
        <v>17</v>
      </c>
      <c r="O25" s="8">
        <f>(IF(I25="HT",15,IF(I25="BTĐ",11.9,IF(I25="PHT",13,IF(I25="PBTĐ",5.95,IF(I25="giáo vụ",4,IF(OR(I25="TTCM",I25="CTCĐ",I25="LĐ",P25="Con nhỏ"),3,IF(OR(I25="TKHĐ",I25="TTrND"),2,0))))))+(IF(OR(J25="CĐ",J25="TVTL"),1,IF(J25="PBM",2,0)))))</f>
        <v>0</v>
      </c>
      <c r="P25" s="20"/>
    </row>
    <row r="26" spans="1:16" ht="12.75" x14ac:dyDescent="0.2">
      <c r="A26" s="12">
        <v>23</v>
      </c>
      <c r="B26" s="21" t="s">
        <v>68</v>
      </c>
      <c r="C26" s="23" t="s">
        <v>141</v>
      </c>
      <c r="D26" s="20"/>
      <c r="E26" s="20"/>
      <c r="F26" s="20"/>
      <c r="G26" s="20"/>
      <c r="H26" s="20" t="s">
        <v>65</v>
      </c>
      <c r="I26" s="24" t="s">
        <v>17</v>
      </c>
      <c r="J26" s="20" t="s">
        <v>365</v>
      </c>
      <c r="K26" s="362" t="s">
        <v>124</v>
      </c>
      <c r="L26" s="362" t="s">
        <v>20</v>
      </c>
      <c r="M26" s="119" t="s">
        <v>196</v>
      </c>
      <c r="N26" s="20">
        <f t="shared" si="0"/>
        <v>17</v>
      </c>
      <c r="O26" s="8">
        <f>(IF(I26="HT",15,IF(I26="BTĐ",11.9,IF(I26="PHT",13,IF(I26="PBTĐ",5.95,IF(I26="giáo vụ",4,IF(OR(I26="TTCM",I26="CTCĐ",I26="LĐ",P26="Con nhỏ"),3,IF(OR(I26="TKHĐ",I26="TTrND"),2,0))))))+(IF(OR(J26="CĐ",J26="TVTL"),1,IF(J26="PBM",2,0)))))</f>
        <v>1</v>
      </c>
      <c r="P26" s="20"/>
    </row>
    <row r="27" spans="1:16" ht="12.75" x14ac:dyDescent="0.2">
      <c r="A27" s="12">
        <v>24</v>
      </c>
      <c r="B27" s="21" t="s">
        <v>69</v>
      </c>
      <c r="C27" s="23" t="s">
        <v>143</v>
      </c>
      <c r="D27" s="20" t="s">
        <v>298</v>
      </c>
      <c r="E27" s="20"/>
      <c r="F27" s="20" t="s">
        <v>298</v>
      </c>
      <c r="G27" s="20" t="s">
        <v>298</v>
      </c>
      <c r="H27" s="20" t="s">
        <v>65</v>
      </c>
      <c r="I27" s="24" t="s">
        <v>17</v>
      </c>
      <c r="J27" s="20"/>
      <c r="K27" s="362" t="s">
        <v>116</v>
      </c>
      <c r="L27" s="362" t="s">
        <v>124</v>
      </c>
      <c r="M27" s="119" t="s">
        <v>173</v>
      </c>
      <c r="N27" s="20">
        <f t="shared" si="0"/>
        <v>17</v>
      </c>
      <c r="O27" s="8">
        <f>(IF(I27="HT",15,IF(I27="BTĐ",11.9,IF(I27="PHT",13,IF(I27="PBTĐ",5.95,IF(I27="giáo vụ",4,IF(OR(I27="TTCM",I27="CTCĐ",I27="LĐ",P27="Con nhỏ"),3,IF(OR(I27="TKHĐ",I27="TTrND"),2,0))))))+(IF(OR(J27="CĐ",J27="TVTL"),1,IF(J27="PBM",2,0)))))</f>
        <v>0</v>
      </c>
      <c r="P27" s="20"/>
    </row>
    <row r="28" spans="1:16" ht="12.75" x14ac:dyDescent="0.2">
      <c r="A28" s="12">
        <v>25</v>
      </c>
      <c r="B28" s="27" t="s">
        <v>70</v>
      </c>
      <c r="C28" s="28" t="s">
        <v>144</v>
      </c>
      <c r="D28" s="26" t="s">
        <v>298</v>
      </c>
      <c r="E28" s="26" t="s">
        <v>298</v>
      </c>
      <c r="F28" s="26"/>
      <c r="G28" s="26"/>
      <c r="H28" s="26" t="s">
        <v>71</v>
      </c>
      <c r="I28" s="26" t="s">
        <v>229</v>
      </c>
      <c r="J28" s="26"/>
      <c r="K28" s="363"/>
      <c r="L28" s="363"/>
      <c r="M28" s="120"/>
      <c r="N28" s="26">
        <f t="shared" si="0"/>
        <v>2</v>
      </c>
      <c r="O28" s="8">
        <f>(IF(I28="HT",15,IF(I28="BTĐ",11.9,IF(I28="PHT",13,IF(I28="PBTĐ",5.95,IF(I28="giáo vụ",4,IF(OR(I28="TTCM",I28="CTCĐ",I28="LĐ",P28="Con nhỏ"),3,IF(OR(I28="TKHĐ",I28="TTrND"),2,0))))))+(IF(OR(J28="CĐ",J28="TVTL"),1,IF(J28="PBM",2,0)))))</f>
        <v>15</v>
      </c>
      <c r="P28" s="26" t="s">
        <v>298</v>
      </c>
    </row>
    <row r="29" spans="1:16" ht="12.75" x14ac:dyDescent="0.2">
      <c r="A29" s="12">
        <v>26</v>
      </c>
      <c r="B29" s="27" t="s">
        <v>72</v>
      </c>
      <c r="C29" s="28" t="s">
        <v>146</v>
      </c>
      <c r="D29" s="26" t="s">
        <v>298</v>
      </c>
      <c r="E29" s="26" t="s">
        <v>298</v>
      </c>
      <c r="F29" s="26"/>
      <c r="G29" s="26"/>
      <c r="H29" s="26" t="s">
        <v>71</v>
      </c>
      <c r="I29" s="26" t="s">
        <v>15</v>
      </c>
      <c r="J29" s="26" t="s">
        <v>366</v>
      </c>
      <c r="K29" s="363"/>
      <c r="L29" s="363"/>
      <c r="M29" s="120"/>
      <c r="N29" s="26">
        <f t="shared" si="0"/>
        <v>17</v>
      </c>
      <c r="O29" s="8">
        <f>(IF(I29="HT",15,IF(I29="BTĐ",11.9,IF(I29="PHT",13,IF(I29="PBTĐ",5.95,IF(I29="giáo vụ",4,IF(OR(I29="TTCM",I29="CTCĐ",I29="LĐ",P29="Con nhỏ"),3,IF(OR(I29="TKHĐ",I29="TTrND"),2,0))))))+(IF(OR(J29="CĐ",J29="TVTL"),1,IF(J29="PBM",2,0)))))+1</f>
        <v>4</v>
      </c>
      <c r="P29" s="26" t="s">
        <v>298</v>
      </c>
    </row>
    <row r="30" spans="1:16" ht="12.75" x14ac:dyDescent="0.2">
      <c r="A30" s="12">
        <v>27</v>
      </c>
      <c r="B30" s="27" t="s">
        <v>73</v>
      </c>
      <c r="C30" s="28" t="s">
        <v>145</v>
      </c>
      <c r="D30" s="26" t="s">
        <v>298</v>
      </c>
      <c r="E30" s="26" t="s">
        <v>298</v>
      </c>
      <c r="F30" s="26" t="s">
        <v>298</v>
      </c>
      <c r="G30" s="26"/>
      <c r="H30" s="26" t="s">
        <v>71</v>
      </c>
      <c r="I30" s="26" t="s">
        <v>17</v>
      </c>
      <c r="J30" s="26"/>
      <c r="K30" s="363" t="s">
        <v>142</v>
      </c>
      <c r="L30" s="363" t="s">
        <v>142</v>
      </c>
      <c r="M30" s="120" t="s">
        <v>202</v>
      </c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</f>
        <v>0</v>
      </c>
      <c r="P30" s="26" t="s">
        <v>298</v>
      </c>
    </row>
    <row r="31" spans="1:16" ht="12.75" x14ac:dyDescent="0.2">
      <c r="A31" s="12">
        <v>28</v>
      </c>
      <c r="B31" s="27" t="s">
        <v>74</v>
      </c>
      <c r="C31" s="28" t="s">
        <v>147</v>
      </c>
      <c r="D31" s="26" t="s">
        <v>298</v>
      </c>
      <c r="E31" s="26"/>
      <c r="F31" s="26" t="s">
        <v>298</v>
      </c>
      <c r="G31" s="26"/>
      <c r="H31" s="26" t="s">
        <v>71</v>
      </c>
      <c r="I31" s="26" t="s">
        <v>17</v>
      </c>
      <c r="J31" s="26"/>
      <c r="K31" s="363" t="s">
        <v>148</v>
      </c>
      <c r="L31" s="363" t="s">
        <v>197</v>
      </c>
      <c r="M31" s="120" t="s">
        <v>20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0</v>
      </c>
      <c r="P31" s="26"/>
    </row>
    <row r="32" spans="1:16" ht="12.75" x14ac:dyDescent="0.2">
      <c r="A32" s="12">
        <v>29</v>
      </c>
      <c r="B32" s="30" t="s">
        <v>75</v>
      </c>
      <c r="C32" s="31" t="s">
        <v>149</v>
      </c>
      <c r="D32" s="29" t="s">
        <v>298</v>
      </c>
      <c r="E32" s="29" t="s">
        <v>298</v>
      </c>
      <c r="F32" s="29" t="s">
        <v>298</v>
      </c>
      <c r="G32" s="29"/>
      <c r="H32" s="29" t="s">
        <v>29</v>
      </c>
      <c r="I32" s="29" t="s">
        <v>16</v>
      </c>
      <c r="J32" s="29"/>
      <c r="K32" s="364"/>
      <c r="L32" s="364"/>
      <c r="M32" s="121"/>
      <c r="N32" s="29">
        <f t="shared" si="0"/>
        <v>4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13</v>
      </c>
      <c r="P32" s="29" t="s">
        <v>298</v>
      </c>
    </row>
    <row r="33" spans="1:16" ht="12.75" x14ac:dyDescent="0.2">
      <c r="A33" s="12">
        <v>30</v>
      </c>
      <c r="B33" s="30" t="s">
        <v>76</v>
      </c>
      <c r="C33" s="31" t="s">
        <v>150</v>
      </c>
      <c r="D33" s="29"/>
      <c r="E33" s="29" t="s">
        <v>298</v>
      </c>
      <c r="F33" s="29" t="s">
        <v>298</v>
      </c>
      <c r="G33" s="29"/>
      <c r="H33" s="29" t="s">
        <v>29</v>
      </c>
      <c r="I33" s="29" t="s">
        <v>15</v>
      </c>
      <c r="J33" s="29"/>
      <c r="K33" s="364"/>
      <c r="L33" s="364"/>
      <c r="M33" s="121"/>
      <c r="N33" s="29">
        <f t="shared" si="0"/>
        <v>17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3</v>
      </c>
      <c r="P33" s="29" t="s">
        <v>298</v>
      </c>
    </row>
    <row r="34" spans="1:16" ht="12.75" x14ac:dyDescent="0.2">
      <c r="A34" s="12">
        <v>31</v>
      </c>
      <c r="B34" s="30" t="s">
        <v>77</v>
      </c>
      <c r="C34" s="31" t="s">
        <v>151</v>
      </c>
      <c r="D34" s="29" t="s">
        <v>298</v>
      </c>
      <c r="E34" s="29"/>
      <c r="F34" s="29" t="s">
        <v>298</v>
      </c>
      <c r="G34" s="29"/>
      <c r="H34" s="29" t="s">
        <v>29</v>
      </c>
      <c r="I34" s="29" t="s">
        <v>217</v>
      </c>
      <c r="J34" s="29"/>
      <c r="K34" s="364"/>
      <c r="L34" s="364"/>
      <c r="M34" s="121"/>
      <c r="N34" s="29">
        <f t="shared" si="0"/>
        <v>17</v>
      </c>
      <c r="O34" s="8">
        <v>1</v>
      </c>
      <c r="P34" s="29" t="s">
        <v>298</v>
      </c>
    </row>
    <row r="35" spans="1:16" ht="12.75" x14ac:dyDescent="0.2">
      <c r="A35" s="12">
        <v>32</v>
      </c>
      <c r="B35" s="30" t="s">
        <v>80</v>
      </c>
      <c r="C35" s="31" t="s">
        <v>152</v>
      </c>
      <c r="D35" s="29" t="s">
        <v>298</v>
      </c>
      <c r="E35" s="29"/>
      <c r="F35" s="29" t="s">
        <v>298</v>
      </c>
      <c r="G35" s="29"/>
      <c r="H35" s="29" t="s">
        <v>29</v>
      </c>
      <c r="I35" s="29" t="s">
        <v>17</v>
      </c>
      <c r="J35" s="29"/>
      <c r="K35" s="364"/>
      <c r="L35" s="364" t="s">
        <v>215</v>
      </c>
      <c r="M35" s="121"/>
      <c r="N35" s="29">
        <f t="shared" si="0"/>
        <v>17</v>
      </c>
      <c r="O35" s="8">
        <f>(IF(I35="HT",15,IF(I35="BTĐ",11.9,IF(I35="PHT",13,IF(I35="PBTĐ",5.95,IF(I35="giáo vụ",4,IF(OR(I35="TTCM",I35="CTCĐ",I35="LĐ",P35="Con nhỏ"),3,IF(OR(I35="TKHĐ",I35="TTrND"),2,0))))))+(IF(OR(J35="CĐ",J35="TVTL"),1,IF(J35="PBM",2,0)))))</f>
        <v>0</v>
      </c>
      <c r="P35" s="29" t="s">
        <v>298</v>
      </c>
    </row>
    <row r="36" spans="1:16" ht="12.75" x14ac:dyDescent="0.2">
      <c r="A36" s="12">
        <v>33</v>
      </c>
      <c r="B36" s="30" t="s">
        <v>189</v>
      </c>
      <c r="C36" s="31" t="s">
        <v>205</v>
      </c>
      <c r="D36" s="29" t="s">
        <v>298</v>
      </c>
      <c r="E36" s="29" t="s">
        <v>298</v>
      </c>
      <c r="F36" s="29" t="s">
        <v>298</v>
      </c>
      <c r="G36" s="29"/>
      <c r="H36" s="29" t="s">
        <v>29</v>
      </c>
      <c r="I36" s="29" t="s">
        <v>216</v>
      </c>
      <c r="J36" s="29" t="s">
        <v>365</v>
      </c>
      <c r="K36" s="364"/>
      <c r="L36" s="364"/>
      <c r="M36" s="121"/>
      <c r="N36" s="29">
        <f t="shared" ref="N36:N62" si="2">17-(IF(I36="HT",15,IF(I36="PHT",13,0))+IF(I36="GVTS",2,0))</f>
        <v>17</v>
      </c>
      <c r="O36" s="8">
        <v>15</v>
      </c>
      <c r="P36" s="29" t="s">
        <v>298</v>
      </c>
    </row>
    <row r="37" spans="1:16" ht="12.75" x14ac:dyDescent="0.2">
      <c r="A37" s="12">
        <v>34</v>
      </c>
      <c r="B37" s="257" t="s">
        <v>78</v>
      </c>
      <c r="C37" s="258" t="s">
        <v>447</v>
      </c>
      <c r="D37" s="29"/>
      <c r="E37" s="29"/>
      <c r="F37" s="29" t="s">
        <v>298</v>
      </c>
      <c r="G37" s="29"/>
      <c r="H37" s="29" t="s">
        <v>29</v>
      </c>
      <c r="I37" s="254" t="s">
        <v>449</v>
      </c>
      <c r="J37" s="29"/>
      <c r="K37" s="364"/>
      <c r="L37" s="364"/>
      <c r="M37" s="121" t="s">
        <v>142</v>
      </c>
      <c r="N37" s="29">
        <f t="shared" si="2"/>
        <v>17</v>
      </c>
      <c r="O37" s="8">
        <f t="shared" ref="O37:O43" si="3">(IF(I37="HT",15,IF(I37="BTĐ",11.9,IF(I37="PHT",13,IF(I37="PBTĐ",5.95,IF(I37="giáo vụ",4,IF(OR(I37="TTCM",I37="CTCĐ",I37="LĐ",P37="Con nhỏ"),3,IF(OR(I37="TKHĐ",I37="TTrND"),2,0))))))+(IF(OR(J37="CĐ",J37="TVTL"),1,IF(J37="PBM",2,0)))))</f>
        <v>0</v>
      </c>
      <c r="P37" s="29"/>
    </row>
    <row r="38" spans="1:16" ht="12.75" x14ac:dyDescent="0.2">
      <c r="A38" s="12">
        <v>35</v>
      </c>
      <c r="B38" s="257" t="s">
        <v>79</v>
      </c>
      <c r="C38" s="258" t="s">
        <v>448</v>
      </c>
      <c r="D38" s="29"/>
      <c r="E38" s="29"/>
      <c r="F38" s="29"/>
      <c r="G38" s="29" t="s">
        <v>298</v>
      </c>
      <c r="H38" s="29" t="s">
        <v>29</v>
      </c>
      <c r="I38" s="254" t="s">
        <v>449</v>
      </c>
      <c r="J38" s="29"/>
      <c r="K38" s="364"/>
      <c r="L38" s="364"/>
      <c r="M38" s="121" t="s">
        <v>18</v>
      </c>
      <c r="N38" s="29">
        <f t="shared" si="2"/>
        <v>17</v>
      </c>
      <c r="O38" s="8">
        <f t="shared" si="3"/>
        <v>0</v>
      </c>
      <c r="P38" s="29"/>
    </row>
    <row r="39" spans="1:16" ht="12.75" x14ac:dyDescent="0.2">
      <c r="A39" s="12">
        <v>36</v>
      </c>
      <c r="B39" s="257" t="s">
        <v>81</v>
      </c>
      <c r="C39" s="258" t="s">
        <v>491</v>
      </c>
      <c r="D39" s="29"/>
      <c r="E39" s="29"/>
      <c r="F39" s="29"/>
      <c r="G39" s="29" t="s">
        <v>298</v>
      </c>
      <c r="H39" s="29" t="s">
        <v>29</v>
      </c>
      <c r="I39" s="254" t="s">
        <v>449</v>
      </c>
      <c r="J39" s="29"/>
      <c r="K39" s="364"/>
      <c r="L39" s="364"/>
      <c r="M39" s="121" t="s">
        <v>31</v>
      </c>
      <c r="N39" s="29">
        <f t="shared" ref="N39" si="4">17-(IF(I39="HT",15,IF(I39="PHT",13,0))+IF(I39="GVTS",2,0))</f>
        <v>17</v>
      </c>
      <c r="O39" s="8">
        <f t="shared" ref="O39" si="5">(IF(I39="HT",15,IF(I39="BTĐ",11.9,IF(I39="PHT",13,IF(I39="PBTĐ",5.95,IF(I39="giáo vụ",4,IF(OR(I39="TTCM",I39="CTCĐ",I39="LĐ",P39="Con nhỏ"),3,IF(OR(I39="TKHĐ",I39="TTrND"),2,0))))))+(IF(OR(J39="CĐ",J39="TVTL"),1,IF(J39="PBM",2,0)))))</f>
        <v>0</v>
      </c>
      <c r="P39" s="29"/>
    </row>
    <row r="40" spans="1:16" ht="12.75" x14ac:dyDescent="0.2">
      <c r="A40" s="12">
        <v>37</v>
      </c>
      <c r="B40" s="257" t="s">
        <v>82</v>
      </c>
      <c r="C40" s="258" t="s">
        <v>516</v>
      </c>
      <c r="D40" s="29"/>
      <c r="E40" s="29"/>
      <c r="F40" s="29"/>
      <c r="G40" s="29" t="s">
        <v>298</v>
      </c>
      <c r="H40" s="29" t="s">
        <v>29</v>
      </c>
      <c r="I40" s="254" t="s">
        <v>449</v>
      </c>
      <c r="J40" s="29"/>
      <c r="K40" s="364"/>
      <c r="L40" s="364"/>
      <c r="M40" s="121"/>
      <c r="N40" s="29">
        <f t="shared" si="2"/>
        <v>17</v>
      </c>
      <c r="O40" s="8">
        <f t="shared" si="3"/>
        <v>0</v>
      </c>
      <c r="P40" s="29"/>
    </row>
    <row r="41" spans="1:16" ht="12.75" x14ac:dyDescent="0.2">
      <c r="A41" s="12">
        <v>38</v>
      </c>
      <c r="B41" s="13" t="s">
        <v>83</v>
      </c>
      <c r="C41" s="14" t="s">
        <v>153</v>
      </c>
      <c r="D41" s="12" t="s">
        <v>298</v>
      </c>
      <c r="E41" s="12" t="s">
        <v>298</v>
      </c>
      <c r="F41" s="12" t="s">
        <v>298</v>
      </c>
      <c r="G41" s="12"/>
      <c r="H41" s="12" t="s">
        <v>187</v>
      </c>
      <c r="I41" s="12" t="s">
        <v>15</v>
      </c>
      <c r="J41" s="12"/>
      <c r="K41" s="360"/>
      <c r="L41" s="360"/>
      <c r="M41" s="117"/>
      <c r="N41" s="12">
        <f t="shared" si="2"/>
        <v>17</v>
      </c>
      <c r="O41" s="8">
        <f t="shared" si="3"/>
        <v>3</v>
      </c>
      <c r="P41" s="12" t="s">
        <v>298</v>
      </c>
    </row>
    <row r="42" spans="1:16" ht="12.75" x14ac:dyDescent="0.2">
      <c r="A42" s="12">
        <v>39</v>
      </c>
      <c r="B42" s="13" t="s">
        <v>85</v>
      </c>
      <c r="C42" s="14" t="s">
        <v>228</v>
      </c>
      <c r="D42" s="12"/>
      <c r="E42" s="12"/>
      <c r="F42" s="12"/>
      <c r="G42" s="12"/>
      <c r="H42" s="12" t="s">
        <v>187</v>
      </c>
      <c r="I42" s="12" t="s">
        <v>17</v>
      </c>
      <c r="J42" s="12"/>
      <c r="K42" s="360"/>
      <c r="L42" s="360" t="s">
        <v>214</v>
      </c>
      <c r="M42" s="117" t="s">
        <v>473</v>
      </c>
      <c r="N42" s="12">
        <f t="shared" si="2"/>
        <v>17</v>
      </c>
      <c r="O42" s="8">
        <f t="shared" si="3"/>
        <v>0</v>
      </c>
      <c r="P42" s="12"/>
    </row>
    <row r="43" spans="1:16" ht="12.75" x14ac:dyDescent="0.2">
      <c r="A43" s="12">
        <v>40</v>
      </c>
      <c r="B43" s="13" t="s">
        <v>86</v>
      </c>
      <c r="C43" s="14" t="s">
        <v>154</v>
      </c>
      <c r="D43" s="12"/>
      <c r="E43" s="12"/>
      <c r="F43" s="12" t="s">
        <v>298</v>
      </c>
      <c r="G43" s="12"/>
      <c r="H43" s="12" t="s">
        <v>187</v>
      </c>
      <c r="I43" s="12" t="s">
        <v>17</v>
      </c>
      <c r="J43" s="12"/>
      <c r="K43" s="360"/>
      <c r="L43" s="360" t="s">
        <v>304</v>
      </c>
      <c r="M43" s="117"/>
      <c r="N43" s="12">
        <f t="shared" si="2"/>
        <v>17</v>
      </c>
      <c r="O43" s="8">
        <f t="shared" si="3"/>
        <v>0</v>
      </c>
      <c r="P43" s="12"/>
    </row>
    <row r="44" spans="1:16" ht="12.75" x14ac:dyDescent="0.2">
      <c r="A44" s="12">
        <v>41</v>
      </c>
      <c r="B44" s="366" t="s">
        <v>498</v>
      </c>
      <c r="C44" s="367" t="s">
        <v>505</v>
      </c>
      <c r="D44" s="12"/>
      <c r="E44" s="12"/>
      <c r="F44" s="12" t="s">
        <v>298</v>
      </c>
      <c r="G44" s="12"/>
      <c r="H44" s="12" t="s">
        <v>187</v>
      </c>
      <c r="I44" s="365" t="s">
        <v>449</v>
      </c>
      <c r="J44" s="12"/>
      <c r="K44" s="360"/>
      <c r="L44" s="360"/>
      <c r="M44" s="117" t="s">
        <v>116</v>
      </c>
      <c r="N44" s="12">
        <f>17-(IF(I44="HT",15,IF(I44="PHT",13,0))+IF(I44="GVTS",2,0))</f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0</v>
      </c>
      <c r="P44" s="12"/>
    </row>
    <row r="45" spans="1:16" ht="12.75" x14ac:dyDescent="0.2">
      <c r="A45" s="12">
        <v>42</v>
      </c>
      <c r="B45" s="13" t="s">
        <v>88</v>
      </c>
      <c r="C45" s="14" t="s">
        <v>206</v>
      </c>
      <c r="D45" s="12" t="s">
        <v>298</v>
      </c>
      <c r="E45" s="12"/>
      <c r="F45" s="12" t="s">
        <v>298</v>
      </c>
      <c r="G45" s="12"/>
      <c r="H45" s="12" t="s">
        <v>320</v>
      </c>
      <c r="I45" s="12" t="s">
        <v>17</v>
      </c>
      <c r="J45" s="12" t="s">
        <v>365</v>
      </c>
      <c r="K45" s="360"/>
      <c r="L45" s="360"/>
      <c r="M45" s="117"/>
      <c r="N45" s="12">
        <f>17-(IF(I45="HT",15,IF(I45="PHT",13,0))+IF(I45="GVTS",2,0))</f>
        <v>17</v>
      </c>
      <c r="O45" s="8">
        <f>(IF(I45="HT",15,IF(I45="BTĐ",11.9,IF(I45="PHT",13,IF(I45="PBTĐ",5.95,IF(I45="giáo vụ",4,IF(OR(I45="TTCM",I45="CTCĐ",I45="LĐ",P45="Con nhỏ"),3,IF(OR(I45="TKHĐ",I45="TTrND"),2,0))))))+(IF(OR(J45="CĐ",J45="TVTL"),1,IF(J45="PBM",2,0)))))</f>
        <v>1</v>
      </c>
      <c r="P45" s="12"/>
    </row>
    <row r="46" spans="1:16" ht="12.75" x14ac:dyDescent="0.2">
      <c r="A46" s="12">
        <v>43</v>
      </c>
      <c r="B46" s="13" t="s">
        <v>425</v>
      </c>
      <c r="C46" s="14" t="s">
        <v>415</v>
      </c>
      <c r="D46" s="12" t="s">
        <v>298</v>
      </c>
      <c r="E46" s="12"/>
      <c r="F46" s="12"/>
      <c r="G46" s="12"/>
      <c r="H46" s="12" t="s">
        <v>320</v>
      </c>
      <c r="I46" s="12" t="s">
        <v>17</v>
      </c>
      <c r="J46" s="12" t="s">
        <v>216</v>
      </c>
      <c r="K46" s="360"/>
      <c r="L46" s="360"/>
      <c r="M46" s="117"/>
      <c r="N46" s="12">
        <f t="shared" si="2"/>
        <v>17</v>
      </c>
      <c r="O46" s="8">
        <v>7.5</v>
      </c>
      <c r="P46" s="12"/>
    </row>
    <row r="47" spans="1:16" ht="12.75" x14ac:dyDescent="0.2">
      <c r="A47" s="12">
        <v>44</v>
      </c>
      <c r="B47" s="18" t="s">
        <v>90</v>
      </c>
      <c r="C47" s="19" t="s">
        <v>155</v>
      </c>
      <c r="D47" s="8"/>
      <c r="E47" s="8"/>
      <c r="F47" s="8"/>
      <c r="G47" s="8"/>
      <c r="H47" s="8" t="s">
        <v>234</v>
      </c>
      <c r="I47" s="8" t="s">
        <v>15</v>
      </c>
      <c r="J47" s="8" t="s">
        <v>365</v>
      </c>
      <c r="K47" s="361" t="s">
        <v>201</v>
      </c>
      <c r="L47" s="361" t="s">
        <v>173</v>
      </c>
      <c r="M47" s="118" t="s">
        <v>215</v>
      </c>
      <c r="N47" s="8">
        <f t="shared" si="2"/>
        <v>17</v>
      </c>
      <c r="O47" s="8">
        <v>3</v>
      </c>
      <c r="P47" s="8" t="s">
        <v>298</v>
      </c>
    </row>
    <row r="48" spans="1:16" ht="12.75" x14ac:dyDescent="0.2">
      <c r="A48" s="12">
        <v>45</v>
      </c>
      <c r="B48" s="18" t="s">
        <v>91</v>
      </c>
      <c r="C48" s="19" t="s">
        <v>156</v>
      </c>
      <c r="D48" s="8" t="s">
        <v>298</v>
      </c>
      <c r="E48" s="8"/>
      <c r="F48" s="8" t="s">
        <v>298</v>
      </c>
      <c r="G48" s="8"/>
      <c r="H48" s="8" t="s">
        <v>234</v>
      </c>
      <c r="I48" s="8" t="s">
        <v>17</v>
      </c>
      <c r="J48" s="8"/>
      <c r="K48" s="361"/>
      <c r="L48" s="361" t="s">
        <v>213</v>
      </c>
      <c r="M48" s="118" t="s">
        <v>213</v>
      </c>
      <c r="N48" s="8">
        <f t="shared" si="2"/>
        <v>17</v>
      </c>
      <c r="O48" s="8">
        <f t="shared" ref="O48:O56" si="6">(IF(I48="HT",15,IF(I48="BTĐ",11.9,IF(I48="PHT",13,IF(I48="PBTĐ",5.95,IF(I48="giáo vụ",4,IF(OR(I48="TTCM",I48="CTCĐ",I48="LĐ",P48="Con nhỏ"),3,IF(OR(I48="TKHĐ",I48="TTrND"),2,0))))))+(IF(OR(J48="CĐ",J48="TVTL"),1,IF(J48="PBM",2,0)))))</f>
        <v>0</v>
      </c>
      <c r="P48" s="8" t="s">
        <v>298</v>
      </c>
    </row>
    <row r="49" spans="1:16" ht="12.75" x14ac:dyDescent="0.2">
      <c r="A49" s="12">
        <v>46</v>
      </c>
      <c r="B49" s="18" t="s">
        <v>92</v>
      </c>
      <c r="C49" s="19" t="s">
        <v>157</v>
      </c>
      <c r="D49" s="8"/>
      <c r="E49" s="8"/>
      <c r="F49" s="8" t="s">
        <v>298</v>
      </c>
      <c r="G49" s="8"/>
      <c r="H49" s="8" t="s">
        <v>234</v>
      </c>
      <c r="I49" s="8" t="s">
        <v>17</v>
      </c>
      <c r="J49" s="8"/>
      <c r="K49" s="361" t="s">
        <v>140</v>
      </c>
      <c r="L49" s="361"/>
      <c r="M49" s="118"/>
      <c r="N49" s="8">
        <f t="shared" si="2"/>
        <v>17</v>
      </c>
      <c r="O49" s="8">
        <f t="shared" si="6"/>
        <v>0</v>
      </c>
      <c r="P49" s="8"/>
    </row>
    <row r="50" spans="1:16" ht="12.75" x14ac:dyDescent="0.2">
      <c r="A50" s="12">
        <v>47</v>
      </c>
      <c r="B50" s="18" t="s">
        <v>220</v>
      </c>
      <c r="C50" s="19" t="s">
        <v>471</v>
      </c>
      <c r="D50" s="8"/>
      <c r="E50" s="8"/>
      <c r="F50" s="8" t="s">
        <v>298</v>
      </c>
      <c r="G50" s="8"/>
      <c r="H50" s="8" t="s">
        <v>234</v>
      </c>
      <c r="I50" s="8" t="s">
        <v>17</v>
      </c>
      <c r="J50" s="8"/>
      <c r="K50" s="361" t="s">
        <v>213</v>
      </c>
      <c r="L50" s="361" t="s">
        <v>31</v>
      </c>
      <c r="M50" s="118" t="s">
        <v>24</v>
      </c>
      <c r="N50" s="8">
        <f t="shared" si="2"/>
        <v>17</v>
      </c>
      <c r="O50" s="8">
        <f t="shared" si="6"/>
        <v>0</v>
      </c>
      <c r="P50" s="8"/>
    </row>
    <row r="51" spans="1:16" ht="12.75" x14ac:dyDescent="0.2">
      <c r="A51" s="12">
        <v>48</v>
      </c>
      <c r="B51" s="27" t="s">
        <v>93</v>
      </c>
      <c r="C51" s="28" t="s">
        <v>158</v>
      </c>
      <c r="D51" s="26"/>
      <c r="E51" s="26"/>
      <c r="F51" s="26"/>
      <c r="G51" s="26"/>
      <c r="H51" s="26" t="s">
        <v>33</v>
      </c>
      <c r="I51" s="26" t="s">
        <v>15</v>
      </c>
      <c r="J51" s="26"/>
      <c r="K51" s="363"/>
      <c r="L51" s="363"/>
      <c r="M51" s="120"/>
      <c r="N51" s="26">
        <f t="shared" si="2"/>
        <v>17</v>
      </c>
      <c r="O51" s="8">
        <f t="shared" si="6"/>
        <v>3</v>
      </c>
      <c r="P51" s="26"/>
    </row>
    <row r="52" spans="1:16" ht="12.75" x14ac:dyDescent="0.2">
      <c r="A52" s="12">
        <v>49</v>
      </c>
      <c r="B52" s="27" t="s">
        <v>190</v>
      </c>
      <c r="C52" s="28" t="s">
        <v>163</v>
      </c>
      <c r="D52" s="26"/>
      <c r="E52" s="26"/>
      <c r="F52" s="26" t="s">
        <v>298</v>
      </c>
      <c r="G52" s="26"/>
      <c r="H52" s="26" t="s">
        <v>33</v>
      </c>
      <c r="I52" s="26" t="s">
        <v>17</v>
      </c>
      <c r="J52" s="26"/>
      <c r="K52" s="363" t="s">
        <v>219</v>
      </c>
      <c r="L52" s="363" t="s">
        <v>116</v>
      </c>
      <c r="M52" s="120" t="s">
        <v>201</v>
      </c>
      <c r="N52" s="26">
        <f t="shared" si="2"/>
        <v>17</v>
      </c>
      <c r="O52" s="8">
        <f t="shared" si="6"/>
        <v>0</v>
      </c>
      <c r="P52" s="26" t="s">
        <v>298</v>
      </c>
    </row>
    <row r="53" spans="1:16" ht="12.75" x14ac:dyDescent="0.2">
      <c r="A53" s="12">
        <v>50</v>
      </c>
      <c r="B53" s="27" t="s">
        <v>94</v>
      </c>
      <c r="C53" s="28" t="s">
        <v>159</v>
      </c>
      <c r="D53" s="26" t="s">
        <v>298</v>
      </c>
      <c r="E53" s="26"/>
      <c r="F53" s="26" t="s">
        <v>298</v>
      </c>
      <c r="G53" s="26"/>
      <c r="H53" s="26" t="s">
        <v>33</v>
      </c>
      <c r="I53" s="26" t="s">
        <v>17</v>
      </c>
      <c r="J53" s="26"/>
      <c r="K53" s="363"/>
      <c r="L53" s="363"/>
      <c r="M53" s="120"/>
      <c r="N53" s="26">
        <f t="shared" si="2"/>
        <v>17</v>
      </c>
      <c r="O53" s="8">
        <f t="shared" si="6"/>
        <v>0</v>
      </c>
      <c r="P53" s="26"/>
    </row>
    <row r="54" spans="1:16" ht="12.75" x14ac:dyDescent="0.2">
      <c r="A54" s="12">
        <v>51</v>
      </c>
      <c r="B54" s="27" t="s">
        <v>95</v>
      </c>
      <c r="C54" s="28" t="s">
        <v>160</v>
      </c>
      <c r="D54" s="26" t="s">
        <v>298</v>
      </c>
      <c r="E54" s="26"/>
      <c r="F54" s="26"/>
      <c r="G54" s="26" t="s">
        <v>298</v>
      </c>
      <c r="H54" s="26" t="s">
        <v>33</v>
      </c>
      <c r="I54" s="26" t="s">
        <v>17</v>
      </c>
      <c r="J54" s="26"/>
      <c r="K54" s="363"/>
      <c r="L54" s="363" t="s">
        <v>138</v>
      </c>
      <c r="M54" s="120" t="s">
        <v>21</v>
      </c>
      <c r="N54" s="26">
        <f t="shared" si="2"/>
        <v>17</v>
      </c>
      <c r="O54" s="8">
        <f t="shared" si="6"/>
        <v>0</v>
      </c>
      <c r="P54" s="26"/>
    </row>
    <row r="55" spans="1:16" ht="12.75" x14ac:dyDescent="0.2">
      <c r="A55" s="12">
        <v>52</v>
      </c>
      <c r="B55" s="27" t="s">
        <v>96</v>
      </c>
      <c r="C55" s="28" t="s">
        <v>161</v>
      </c>
      <c r="D55" s="26" t="s">
        <v>298</v>
      </c>
      <c r="E55" s="26"/>
      <c r="F55" s="26" t="s">
        <v>298</v>
      </c>
      <c r="G55" s="26"/>
      <c r="H55" s="26" t="s">
        <v>33</v>
      </c>
      <c r="I55" s="26" t="s">
        <v>17</v>
      </c>
      <c r="J55" s="26"/>
      <c r="K55" s="363" t="s">
        <v>214</v>
      </c>
      <c r="L55" s="363"/>
      <c r="M55" s="120"/>
      <c r="N55" s="26">
        <f t="shared" si="2"/>
        <v>17</v>
      </c>
      <c r="O55" s="8">
        <f t="shared" si="6"/>
        <v>0</v>
      </c>
      <c r="P55" s="26"/>
    </row>
    <row r="56" spans="1:16" ht="12.75" x14ac:dyDescent="0.2">
      <c r="A56" s="12">
        <v>53</v>
      </c>
      <c r="B56" s="27" t="s">
        <v>97</v>
      </c>
      <c r="C56" s="28" t="s">
        <v>162</v>
      </c>
      <c r="D56" s="26" t="s">
        <v>298</v>
      </c>
      <c r="E56" s="26"/>
      <c r="F56" s="26" t="s">
        <v>298</v>
      </c>
      <c r="G56" s="26"/>
      <c r="H56" s="26" t="s">
        <v>33</v>
      </c>
      <c r="I56" s="26" t="s">
        <v>17</v>
      </c>
      <c r="J56" s="26"/>
      <c r="K56" s="363" t="s">
        <v>27</v>
      </c>
      <c r="L56" s="363" t="s">
        <v>200</v>
      </c>
      <c r="M56" s="120" t="s">
        <v>304</v>
      </c>
      <c r="N56" s="26">
        <f t="shared" si="2"/>
        <v>17</v>
      </c>
      <c r="O56" s="8">
        <f t="shared" si="6"/>
        <v>0</v>
      </c>
      <c r="P56" s="26" t="s">
        <v>298</v>
      </c>
    </row>
    <row r="57" spans="1:16" ht="11.65" customHeight="1" x14ac:dyDescent="0.2">
      <c r="A57" s="12">
        <v>54</v>
      </c>
      <c r="B57" s="25" t="s">
        <v>100</v>
      </c>
      <c r="C57" s="23" t="s">
        <v>195</v>
      </c>
      <c r="D57" s="24" t="s">
        <v>298</v>
      </c>
      <c r="E57" s="24"/>
      <c r="F57" s="24"/>
      <c r="G57" s="24"/>
      <c r="H57" s="24" t="s">
        <v>165</v>
      </c>
      <c r="I57" s="24" t="s">
        <v>216</v>
      </c>
      <c r="J57" s="20" t="s">
        <v>235</v>
      </c>
      <c r="K57" s="203"/>
      <c r="L57" s="25"/>
      <c r="M57" s="43"/>
      <c r="N57" s="24">
        <f t="shared" si="2"/>
        <v>17</v>
      </c>
      <c r="O57" s="8">
        <v>8.5</v>
      </c>
      <c r="P57" s="24"/>
    </row>
    <row r="58" spans="1:16" s="478" customFormat="1" ht="11.65" customHeight="1" x14ac:dyDescent="0.2">
      <c r="A58" s="12">
        <v>55</v>
      </c>
      <c r="B58" s="259" t="s">
        <v>424</v>
      </c>
      <c r="C58" s="260" t="s">
        <v>515</v>
      </c>
      <c r="D58" s="255"/>
      <c r="E58" s="255"/>
      <c r="F58" s="255" t="s">
        <v>298</v>
      </c>
      <c r="G58" s="255"/>
      <c r="H58" s="255" t="s">
        <v>165</v>
      </c>
      <c r="I58" s="255" t="s">
        <v>17</v>
      </c>
      <c r="J58" s="475"/>
      <c r="K58" s="476"/>
      <c r="L58" s="259"/>
      <c r="M58" s="259"/>
      <c r="N58" s="255">
        <f t="shared" si="2"/>
        <v>17</v>
      </c>
      <c r="O58" s="477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55"/>
    </row>
    <row r="59" spans="1:16" x14ac:dyDescent="0.2">
      <c r="A59" s="12">
        <v>56</v>
      </c>
      <c r="B59" s="25" t="s">
        <v>101</v>
      </c>
      <c r="C59" s="23" t="s">
        <v>164</v>
      </c>
      <c r="D59" s="24" t="s">
        <v>298</v>
      </c>
      <c r="E59" s="24"/>
      <c r="F59" s="24"/>
      <c r="G59" s="24"/>
      <c r="H59" s="24" t="s">
        <v>165</v>
      </c>
      <c r="I59" s="24" t="s">
        <v>17</v>
      </c>
      <c r="J59" s="20"/>
      <c r="K59" s="203"/>
      <c r="L59" s="25"/>
      <c r="M59" s="43"/>
      <c r="N59" s="24">
        <f t="shared" si="2"/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0</v>
      </c>
      <c r="P59" s="24"/>
    </row>
    <row r="60" spans="1:16" x14ac:dyDescent="0.2">
      <c r="A60" s="12">
        <v>57</v>
      </c>
      <c r="B60" s="25" t="s">
        <v>102</v>
      </c>
      <c r="C60" s="23" t="s">
        <v>166</v>
      </c>
      <c r="D60" s="24" t="s">
        <v>298</v>
      </c>
      <c r="E60" s="24"/>
      <c r="F60" s="24"/>
      <c r="G60" s="24"/>
      <c r="H60" s="24" t="s">
        <v>165</v>
      </c>
      <c r="I60" s="24" t="s">
        <v>15</v>
      </c>
      <c r="J60" s="20"/>
      <c r="K60" s="203"/>
      <c r="L60" s="25"/>
      <c r="M60" s="43"/>
      <c r="N60" s="24">
        <f t="shared" si="2"/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3</v>
      </c>
      <c r="P60" s="24" t="s">
        <v>298</v>
      </c>
    </row>
    <row r="61" spans="1:16" x14ac:dyDescent="0.2">
      <c r="A61" s="12">
        <v>58</v>
      </c>
      <c r="B61" s="25" t="s">
        <v>103</v>
      </c>
      <c r="C61" s="23" t="s">
        <v>167</v>
      </c>
      <c r="D61" s="24"/>
      <c r="E61" s="24"/>
      <c r="F61" s="24" t="s">
        <v>298</v>
      </c>
      <c r="G61" s="24" t="s">
        <v>298</v>
      </c>
      <c r="H61" s="24" t="s">
        <v>165</v>
      </c>
      <c r="I61" s="24" t="s">
        <v>17</v>
      </c>
      <c r="J61" s="20"/>
      <c r="K61" s="25"/>
      <c r="L61" s="25"/>
      <c r="M61" s="353" t="s">
        <v>148</v>
      </c>
      <c r="N61" s="24">
        <f t="shared" si="2"/>
        <v>17</v>
      </c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 x14ac:dyDescent="0.2">
      <c r="A62" s="12">
        <v>59</v>
      </c>
      <c r="B62" s="259" t="s">
        <v>104</v>
      </c>
      <c r="C62" s="260" t="s">
        <v>450</v>
      </c>
      <c r="D62" s="24"/>
      <c r="E62" s="24"/>
      <c r="F62" s="24"/>
      <c r="G62" s="24"/>
      <c r="H62" s="24" t="s">
        <v>165</v>
      </c>
      <c r="I62" s="255" t="s">
        <v>449</v>
      </c>
      <c r="J62" s="20"/>
      <c r="K62" s="25"/>
      <c r="L62" s="25"/>
      <c r="M62" s="43"/>
      <c r="N62" s="24">
        <f t="shared" si="2"/>
        <v>17</v>
      </c>
      <c r="O62" s="8">
        <f>(IF(I62="HT",15,IF(I62="BTĐ",11.9,IF(I62="PHT",13,IF(I62="PBTĐ",5.95,IF(I62="giáo vụ",4,IF(OR(I62="TTCM",I62="CTCĐ",I62="LĐ",P62="Con nhỏ"),3,IF(OR(I62="TKHĐ",I62="TTrND"),2,0))))))+(IF(OR(J62="CĐ",J62="TVTL"),1,IF(J62="PBM",2,0)))))</f>
        <v>0</v>
      </c>
      <c r="P62" s="24"/>
    </row>
    <row r="63" spans="1:16" x14ac:dyDescent="0.2">
      <c r="A63" s="12">
        <v>60</v>
      </c>
      <c r="B63" s="32" t="s">
        <v>207</v>
      </c>
      <c r="C63" s="33" t="s">
        <v>168</v>
      </c>
      <c r="D63" s="29"/>
      <c r="E63" s="29"/>
      <c r="F63" s="29"/>
      <c r="G63" s="29"/>
      <c r="H63" s="29"/>
      <c r="I63" s="29" t="s">
        <v>169</v>
      </c>
      <c r="J63" s="29"/>
      <c r="K63" s="29"/>
      <c r="L63" s="29"/>
      <c r="M63" s="44"/>
      <c r="N63" s="29"/>
      <c r="O63" s="29"/>
      <c r="P63" s="29"/>
    </row>
    <row r="64" spans="1:16" x14ac:dyDescent="0.2">
      <c r="A64" s="12">
        <v>61</v>
      </c>
      <c r="B64" s="32" t="s">
        <v>208</v>
      </c>
      <c r="C64" s="33" t="s">
        <v>170</v>
      </c>
      <c r="D64" s="29"/>
      <c r="E64" s="29"/>
      <c r="F64" s="29" t="s">
        <v>298</v>
      </c>
      <c r="G64" s="29"/>
      <c r="H64" s="29"/>
      <c r="I64" s="29" t="s">
        <v>171</v>
      </c>
      <c r="J64" s="29"/>
      <c r="K64" s="29"/>
      <c r="L64" s="29"/>
      <c r="M64" s="44"/>
      <c r="N64" s="29"/>
      <c r="O64" s="29"/>
      <c r="P64" s="29"/>
    </row>
    <row r="65" spans="1:16" x14ac:dyDescent="0.2">
      <c r="A65" s="12">
        <v>62</v>
      </c>
      <c r="B65" s="32" t="s">
        <v>209</v>
      </c>
      <c r="C65" s="31" t="s">
        <v>174</v>
      </c>
      <c r="D65" s="29"/>
      <c r="E65" s="29"/>
      <c r="F65" s="29" t="s">
        <v>298</v>
      </c>
      <c r="G65" s="29"/>
      <c r="H65" s="29"/>
      <c r="I65" s="29" t="s">
        <v>172</v>
      </c>
      <c r="J65" s="29"/>
      <c r="K65" s="29"/>
      <c r="L65" s="29"/>
      <c r="M65" s="44"/>
      <c r="N65" s="29"/>
      <c r="O65" s="29"/>
      <c r="P65" s="29"/>
    </row>
    <row r="66" spans="1:16" x14ac:dyDescent="0.2">
      <c r="A66" s="12">
        <v>63</v>
      </c>
      <c r="B66" s="32" t="s">
        <v>210</v>
      </c>
      <c r="C66" s="33" t="s">
        <v>232</v>
      </c>
      <c r="D66" s="29"/>
      <c r="E66" s="29"/>
      <c r="F66" s="29" t="s">
        <v>298</v>
      </c>
      <c r="G66" s="29"/>
      <c r="H66" s="29"/>
      <c r="I66" s="29" t="s">
        <v>194</v>
      </c>
      <c r="J66" s="29"/>
      <c r="K66" s="29"/>
      <c r="L66" s="29"/>
      <c r="M66" s="44"/>
      <c r="N66" s="29"/>
      <c r="O66" s="29"/>
      <c r="P66" s="29"/>
    </row>
    <row r="67" spans="1:16" x14ac:dyDescent="0.2">
      <c r="A67" s="12">
        <v>64</v>
      </c>
      <c r="B67" s="32" t="s">
        <v>211</v>
      </c>
      <c r="C67" s="33" t="s">
        <v>340</v>
      </c>
      <c r="D67" s="29"/>
      <c r="E67" s="29"/>
      <c r="F67" s="29" t="s">
        <v>298</v>
      </c>
      <c r="G67" s="29"/>
      <c r="H67" s="29"/>
      <c r="I67" s="29" t="s">
        <v>212</v>
      </c>
      <c r="J67" s="29"/>
      <c r="K67" s="29"/>
      <c r="L67" s="29"/>
      <c r="M67" s="44"/>
      <c r="N67" s="29"/>
      <c r="O67" s="29"/>
      <c r="P67" s="29"/>
    </row>
    <row r="68" spans="1:16" x14ac:dyDescent="0.2">
      <c r="A68" s="12">
        <v>65</v>
      </c>
      <c r="B68" s="32" t="s">
        <v>227</v>
      </c>
      <c r="C68" s="33" t="s">
        <v>339</v>
      </c>
      <c r="D68" s="29"/>
      <c r="E68" s="29"/>
      <c r="F68" s="29"/>
      <c r="G68" s="29"/>
      <c r="H68" s="29"/>
      <c r="I68" s="29" t="s">
        <v>169</v>
      </c>
      <c r="J68" s="29"/>
      <c r="K68" s="29"/>
      <c r="L68" s="29"/>
      <c r="M68" s="44"/>
      <c r="N68" s="29"/>
      <c r="O68" s="29"/>
      <c r="P68" s="29"/>
    </row>
    <row r="69" spans="1:16" x14ac:dyDescent="0.2">
      <c r="A69" s="12">
        <v>66</v>
      </c>
      <c r="B69" s="32" t="s">
        <v>446</v>
      </c>
      <c r="C69" s="33" t="s">
        <v>416</v>
      </c>
      <c r="D69" s="29" t="s">
        <v>298</v>
      </c>
      <c r="E69" s="29"/>
      <c r="F69" s="29" t="s">
        <v>298</v>
      </c>
      <c r="G69" s="29" t="s">
        <v>298</v>
      </c>
      <c r="H69" s="29"/>
      <c r="I69" s="29" t="s">
        <v>451</v>
      </c>
      <c r="J69" s="29"/>
      <c r="K69" s="29"/>
      <c r="L69" s="29"/>
      <c r="M69" s="44"/>
      <c r="N69" s="29"/>
      <c r="O69" s="29"/>
      <c r="P69" s="29"/>
    </row>
    <row r="70" spans="1:16" x14ac:dyDescent="0.2">
      <c r="A70" s="12">
        <v>67</v>
      </c>
      <c r="B70" s="32" t="s">
        <v>445</v>
      </c>
      <c r="C70" s="33" t="s">
        <v>444</v>
      </c>
      <c r="D70" s="29"/>
      <c r="E70" s="29"/>
      <c r="F70" s="29" t="s">
        <v>298</v>
      </c>
      <c r="G70" s="29"/>
      <c r="H70" s="29"/>
      <c r="I70" s="29" t="s">
        <v>226</v>
      </c>
      <c r="J70" s="29"/>
      <c r="K70" s="29"/>
      <c r="L70" s="29"/>
      <c r="M70" s="44"/>
      <c r="N70" s="29"/>
      <c r="O70" s="29"/>
      <c r="P70" s="29"/>
    </row>
    <row r="71" spans="1:16" x14ac:dyDescent="0.2">
      <c r="A71" s="114"/>
      <c r="B71" s="115"/>
      <c r="C71" s="112"/>
      <c r="D71" s="116">
        <f>COUNTA(D4:D70)</f>
        <v>33</v>
      </c>
      <c r="E71" s="116">
        <f>COUNTA(E4:E70)</f>
        <v>18</v>
      </c>
      <c r="F71" s="116">
        <f>COUNTA(F4:F70)</f>
        <v>36</v>
      </c>
      <c r="G71" s="116">
        <f>COUNTA(G4:G70)</f>
        <v>8</v>
      </c>
      <c r="H71" s="116"/>
      <c r="I71" s="116"/>
      <c r="J71" s="116"/>
      <c r="K71" s="116">
        <f>COUNTA(K4:K70)</f>
        <v>26</v>
      </c>
      <c r="L71" s="116">
        <f>COUNTA(L4:L70)</f>
        <v>28</v>
      </c>
      <c r="M71" s="116">
        <f>COUNTA(M4:M70)</f>
        <v>28</v>
      </c>
      <c r="N71" s="113">
        <f>SUM(N4:N70)</f>
        <v>962</v>
      </c>
      <c r="O71" s="113">
        <f>SUM(O4:O70)</f>
        <v>113</v>
      </c>
      <c r="P71" s="116">
        <f>COUNTA(P4:P70)</f>
        <v>27</v>
      </c>
    </row>
    <row r="72" spans="1:16" ht="12.75" x14ac:dyDescent="0.2">
      <c r="L72" s="53"/>
      <c r="M72" s="509" t="s">
        <v>303</v>
      </c>
      <c r="N72" s="509"/>
      <c r="O72" s="509"/>
    </row>
    <row r="73" spans="1:16" ht="12.75" x14ac:dyDescent="0.2">
      <c r="L73" s="4"/>
      <c r="M73" s="4"/>
    </row>
    <row r="74" spans="1:16" ht="12.75" x14ac:dyDescent="0.2">
      <c r="L74" s="4"/>
      <c r="M74" s="4"/>
    </row>
    <row r="75" spans="1:16" ht="12.75" x14ac:dyDescent="0.2">
      <c r="L75" s="4"/>
      <c r="M75" s="4"/>
    </row>
    <row r="76" spans="1:16" ht="13.5" x14ac:dyDescent="0.25">
      <c r="L76" s="50"/>
      <c r="M76" s="510" t="s">
        <v>144</v>
      </c>
      <c r="N76" s="510"/>
      <c r="O76" s="510"/>
    </row>
  </sheetData>
  <sortState ref="A4:AA59">
    <sortCondition ref="A4:A59"/>
  </sortState>
  <mergeCells count="5">
    <mergeCell ref="A1:H1"/>
    <mergeCell ref="I1:P1"/>
    <mergeCell ref="A2:P2"/>
    <mergeCell ref="M72:O72"/>
    <mergeCell ref="M76:O76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topLeftCell="A19" workbookViewId="0">
      <selection activeCell="F19" sqref="F19"/>
    </sheetView>
  </sheetViews>
  <sheetFormatPr defaultColWidth="5.25" defaultRowHeight="16.5" x14ac:dyDescent="0.25"/>
  <cols>
    <col min="1" max="1" width="6.25" style="67" bestFit="1" customWidth="1"/>
    <col min="2" max="2" width="7.625" style="67" bestFit="1" customWidth="1"/>
    <col min="3" max="3" width="24.125" style="67" bestFit="1" customWidth="1"/>
    <col min="4" max="4" width="15" style="67" bestFit="1" customWidth="1"/>
    <col min="5" max="5" width="8.625" style="67" bestFit="1" customWidth="1"/>
    <col min="6" max="6" width="14.625" style="67" customWidth="1"/>
    <col min="7" max="7" width="10.5" style="67" bestFit="1" customWidth="1"/>
    <col min="8" max="8" width="26.625" style="67" customWidth="1"/>
    <col min="9" max="9" width="18.625" style="67" customWidth="1"/>
    <col min="10" max="16384" width="5.25" style="67"/>
  </cols>
  <sheetData>
    <row r="1" spans="1:9" s="9" customFormat="1" ht="33.6" customHeight="1" x14ac:dyDescent="0.25">
      <c r="A1" s="504" t="s">
        <v>332</v>
      </c>
      <c r="B1" s="504"/>
      <c r="C1" s="504"/>
      <c r="D1" s="504"/>
      <c r="E1" s="506" t="s">
        <v>330</v>
      </c>
      <c r="F1" s="506"/>
      <c r="G1" s="506"/>
      <c r="H1" s="506"/>
      <c r="I1" s="506"/>
    </row>
    <row r="2" spans="1:9" s="9" customFormat="1" ht="9" customHeight="1" x14ac:dyDescent="0.25">
      <c r="A2" s="247"/>
      <c r="B2" s="247"/>
      <c r="C2" s="247"/>
      <c r="D2" s="248"/>
      <c r="E2" s="248"/>
      <c r="F2" s="248"/>
      <c r="G2" s="248"/>
      <c r="H2" s="248"/>
    </row>
    <row r="3" spans="1:9" ht="18.75" x14ac:dyDescent="0.3">
      <c r="A3" s="511" t="s">
        <v>474</v>
      </c>
      <c r="B3" s="511"/>
      <c r="C3" s="511"/>
      <c r="D3" s="511"/>
      <c r="E3" s="511"/>
      <c r="F3" s="511"/>
      <c r="G3" s="511"/>
      <c r="H3" s="511"/>
      <c r="I3" s="511"/>
    </row>
    <row r="4" spans="1:9" s="253" customFormat="1" ht="18.75" x14ac:dyDescent="0.3">
      <c r="A4" s="512" t="s">
        <v>492</v>
      </c>
      <c r="B4" s="512"/>
      <c r="C4" s="512"/>
      <c r="D4" s="512"/>
      <c r="E4" s="512"/>
      <c r="F4" s="512"/>
      <c r="G4" s="512"/>
      <c r="H4" s="512"/>
      <c r="I4" s="512"/>
    </row>
    <row r="5" spans="1:9" ht="9" customHeight="1" x14ac:dyDescent="0.25"/>
    <row r="6" spans="1:9" x14ac:dyDescent="0.25">
      <c r="A6" s="202" t="s">
        <v>443</v>
      </c>
      <c r="B6" s="202" t="s">
        <v>222</v>
      </c>
      <c r="C6" s="202" t="s">
        <v>223</v>
      </c>
      <c r="D6" s="202" t="s">
        <v>362</v>
      </c>
      <c r="E6" s="202" t="s">
        <v>224</v>
      </c>
      <c r="F6" s="358" t="s">
        <v>225</v>
      </c>
      <c r="G6" s="202" t="s">
        <v>233</v>
      </c>
      <c r="H6" s="202" t="s">
        <v>441</v>
      </c>
      <c r="I6" s="202" t="s">
        <v>442</v>
      </c>
    </row>
    <row r="7" spans="1:9" s="74" customFormat="1" x14ac:dyDescent="0.25">
      <c r="A7" s="341">
        <v>2</v>
      </c>
      <c r="B7" s="342" t="s">
        <v>95</v>
      </c>
      <c r="C7" s="343" t="s">
        <v>160</v>
      </c>
      <c r="D7" s="341" t="s">
        <v>33</v>
      </c>
      <c r="E7" s="341" t="s">
        <v>17</v>
      </c>
      <c r="F7" s="342" t="s">
        <v>21</v>
      </c>
      <c r="G7" s="354" t="s">
        <v>241</v>
      </c>
      <c r="H7" s="344" t="s">
        <v>495</v>
      </c>
      <c r="I7" s="345" t="s">
        <v>440</v>
      </c>
    </row>
    <row r="8" spans="1:9" s="74" customFormat="1" x14ac:dyDescent="0.25">
      <c r="A8" s="346">
        <v>14</v>
      </c>
      <c r="B8" s="347" t="s">
        <v>190</v>
      </c>
      <c r="C8" s="348" t="s">
        <v>163</v>
      </c>
      <c r="D8" s="346" t="s">
        <v>33</v>
      </c>
      <c r="E8" s="346" t="s">
        <v>17</v>
      </c>
      <c r="F8" s="347" t="s">
        <v>201</v>
      </c>
      <c r="G8" s="355">
        <v>31</v>
      </c>
      <c r="H8" s="349" t="s">
        <v>433</v>
      </c>
      <c r="I8" s="350" t="s">
        <v>438</v>
      </c>
    </row>
    <row r="9" spans="1:9" s="74" customFormat="1" x14ac:dyDescent="0.25">
      <c r="A9" s="346">
        <v>18</v>
      </c>
      <c r="B9" s="347" t="s">
        <v>97</v>
      </c>
      <c r="C9" s="348" t="s">
        <v>162</v>
      </c>
      <c r="D9" s="346" t="s">
        <v>33</v>
      </c>
      <c r="E9" s="346" t="s">
        <v>17</v>
      </c>
      <c r="F9" s="347" t="s">
        <v>304</v>
      </c>
      <c r="G9" s="355">
        <v>35</v>
      </c>
      <c r="H9" s="349" t="s">
        <v>431</v>
      </c>
      <c r="I9" s="350" t="s">
        <v>437</v>
      </c>
    </row>
    <row r="10" spans="1:9" s="74" customFormat="1" x14ac:dyDescent="0.25">
      <c r="A10" s="346">
        <v>10</v>
      </c>
      <c r="B10" s="347" t="s">
        <v>220</v>
      </c>
      <c r="C10" s="348" t="s">
        <v>230</v>
      </c>
      <c r="D10" s="346" t="s">
        <v>234</v>
      </c>
      <c r="E10" s="346" t="s">
        <v>17</v>
      </c>
      <c r="F10" s="347" t="s">
        <v>24</v>
      </c>
      <c r="G10" s="355">
        <v>27</v>
      </c>
      <c r="H10" s="349" t="s">
        <v>435</v>
      </c>
      <c r="I10" s="350" t="s">
        <v>439</v>
      </c>
    </row>
    <row r="11" spans="1:9" s="74" customFormat="1" x14ac:dyDescent="0.25">
      <c r="A11" s="351">
        <v>24</v>
      </c>
      <c r="B11" s="352" t="s">
        <v>91</v>
      </c>
      <c r="C11" s="340" t="s">
        <v>480</v>
      </c>
      <c r="D11" s="249" t="s">
        <v>234</v>
      </c>
      <c r="E11" s="249" t="s">
        <v>17</v>
      </c>
      <c r="F11" s="250" t="s">
        <v>213</v>
      </c>
      <c r="G11" s="356" t="s">
        <v>253</v>
      </c>
      <c r="H11" s="251" t="s">
        <v>434</v>
      </c>
      <c r="I11" s="252" t="s">
        <v>439</v>
      </c>
    </row>
    <row r="12" spans="1:9" s="74" customFormat="1" x14ac:dyDescent="0.25">
      <c r="A12" s="351">
        <v>26</v>
      </c>
      <c r="B12" s="352" t="s">
        <v>90</v>
      </c>
      <c r="C12" s="340" t="s">
        <v>481</v>
      </c>
      <c r="D12" s="249" t="s">
        <v>234</v>
      </c>
      <c r="E12" s="249" t="s">
        <v>17</v>
      </c>
      <c r="F12" s="250" t="s">
        <v>215</v>
      </c>
      <c r="G12" s="356" t="s">
        <v>255</v>
      </c>
      <c r="H12" s="251" t="s">
        <v>434</v>
      </c>
      <c r="I12" s="252" t="s">
        <v>439</v>
      </c>
    </row>
    <row r="13" spans="1:9" s="74" customFormat="1" x14ac:dyDescent="0.25">
      <c r="A13" s="341">
        <v>6</v>
      </c>
      <c r="B13" s="342" t="s">
        <v>67</v>
      </c>
      <c r="C13" s="343" t="s">
        <v>488</v>
      </c>
      <c r="D13" s="341" t="s">
        <v>486</v>
      </c>
      <c r="E13" s="341" t="s">
        <v>17</v>
      </c>
      <c r="F13" s="342" t="s">
        <v>196</v>
      </c>
      <c r="G13" s="354" t="s">
        <v>245</v>
      </c>
      <c r="H13" s="344" t="s">
        <v>479</v>
      </c>
      <c r="I13" s="345" t="s">
        <v>437</v>
      </c>
    </row>
    <row r="14" spans="1:9" s="74" customFormat="1" x14ac:dyDescent="0.25">
      <c r="A14" s="346">
        <v>13</v>
      </c>
      <c r="B14" s="347" t="s">
        <v>67</v>
      </c>
      <c r="C14" s="348" t="s">
        <v>139</v>
      </c>
      <c r="D14" s="346" t="s">
        <v>486</v>
      </c>
      <c r="E14" s="346" t="s">
        <v>17</v>
      </c>
      <c r="F14" s="347" t="s">
        <v>138</v>
      </c>
      <c r="G14" s="355">
        <v>30</v>
      </c>
      <c r="H14" s="349" t="s">
        <v>433</v>
      </c>
      <c r="I14" s="350" t="s">
        <v>438</v>
      </c>
    </row>
    <row r="15" spans="1:9" x14ac:dyDescent="0.25">
      <c r="A15" s="351">
        <v>19</v>
      </c>
      <c r="B15" s="352" t="s">
        <v>66</v>
      </c>
      <c r="C15" s="340" t="s">
        <v>137</v>
      </c>
      <c r="D15" s="249" t="s">
        <v>26</v>
      </c>
      <c r="E15" s="249" t="s">
        <v>17</v>
      </c>
      <c r="F15" s="250" t="s">
        <v>27</v>
      </c>
      <c r="G15" s="356" t="s">
        <v>246</v>
      </c>
      <c r="H15" s="251" t="s">
        <v>431</v>
      </c>
      <c r="I15" s="252" t="s">
        <v>437</v>
      </c>
    </row>
    <row r="16" spans="1:9" s="74" customFormat="1" x14ac:dyDescent="0.25">
      <c r="A16" s="351">
        <v>23</v>
      </c>
      <c r="B16" s="352" t="s">
        <v>69</v>
      </c>
      <c r="C16" s="340" t="s">
        <v>231</v>
      </c>
      <c r="D16" s="249" t="s">
        <v>26</v>
      </c>
      <c r="E16" s="249" t="s">
        <v>17</v>
      </c>
      <c r="F16" s="250" t="s">
        <v>173</v>
      </c>
      <c r="G16" s="356" t="s">
        <v>252</v>
      </c>
      <c r="H16" s="251" t="s">
        <v>433</v>
      </c>
      <c r="I16" s="252" t="s">
        <v>438</v>
      </c>
    </row>
    <row r="17" spans="1:9" x14ac:dyDescent="0.25">
      <c r="A17" s="341">
        <v>5</v>
      </c>
      <c r="B17" s="342" t="s">
        <v>498</v>
      </c>
      <c r="C17" s="343" t="s">
        <v>505</v>
      </c>
      <c r="D17" s="341" t="s">
        <v>489</v>
      </c>
      <c r="E17" s="341" t="s">
        <v>17</v>
      </c>
      <c r="F17" s="342" t="s">
        <v>116</v>
      </c>
      <c r="G17" s="354" t="s">
        <v>244</v>
      </c>
      <c r="H17" s="344" t="s">
        <v>478</v>
      </c>
      <c r="I17" s="345" t="s">
        <v>438</v>
      </c>
    </row>
    <row r="18" spans="1:9" x14ac:dyDescent="0.25">
      <c r="A18" s="351">
        <v>28</v>
      </c>
      <c r="B18" s="352" t="s">
        <v>85</v>
      </c>
      <c r="C18" s="340" t="s">
        <v>228</v>
      </c>
      <c r="D18" s="249" t="s">
        <v>462</v>
      </c>
      <c r="E18" s="249" t="s">
        <v>17</v>
      </c>
      <c r="F18" s="250" t="s">
        <v>473</v>
      </c>
      <c r="G18" s="356" t="s">
        <v>257</v>
      </c>
      <c r="H18" s="251" t="s">
        <v>436</v>
      </c>
      <c r="I18" s="252" t="s">
        <v>440</v>
      </c>
    </row>
    <row r="19" spans="1:9" x14ac:dyDescent="0.25">
      <c r="A19" s="341">
        <v>4</v>
      </c>
      <c r="B19" s="342" t="s">
        <v>59</v>
      </c>
      <c r="C19" s="343" t="s">
        <v>131</v>
      </c>
      <c r="D19" s="341" t="s">
        <v>485</v>
      </c>
      <c r="E19" s="341" t="s">
        <v>17</v>
      </c>
      <c r="F19" s="342" t="s">
        <v>121</v>
      </c>
      <c r="G19" s="354" t="s">
        <v>243</v>
      </c>
      <c r="H19" s="344" t="s">
        <v>477</v>
      </c>
      <c r="I19" s="345" t="s">
        <v>439</v>
      </c>
    </row>
    <row r="20" spans="1:9" x14ac:dyDescent="0.25">
      <c r="A20" s="346">
        <v>16</v>
      </c>
      <c r="B20" s="347" t="s">
        <v>60</v>
      </c>
      <c r="C20" s="348" t="s">
        <v>132</v>
      </c>
      <c r="D20" s="346" t="s">
        <v>23</v>
      </c>
      <c r="E20" s="346" t="s">
        <v>17</v>
      </c>
      <c r="F20" s="347" t="s">
        <v>203</v>
      </c>
      <c r="G20" s="355">
        <v>33</v>
      </c>
      <c r="H20" s="349" t="s">
        <v>431</v>
      </c>
      <c r="I20" s="350" t="s">
        <v>437</v>
      </c>
    </row>
    <row r="21" spans="1:9" x14ac:dyDescent="0.25">
      <c r="A21" s="351">
        <v>25</v>
      </c>
      <c r="B21" s="352" t="s">
        <v>61</v>
      </c>
      <c r="C21" s="340" t="s">
        <v>133</v>
      </c>
      <c r="D21" s="249" t="s">
        <v>485</v>
      </c>
      <c r="E21" s="249" t="s">
        <v>17</v>
      </c>
      <c r="F21" s="250" t="s">
        <v>214</v>
      </c>
      <c r="G21" s="356" t="s">
        <v>254</v>
      </c>
      <c r="H21" s="251" t="s">
        <v>434</v>
      </c>
      <c r="I21" s="252" t="s">
        <v>439</v>
      </c>
    </row>
    <row r="22" spans="1:9" x14ac:dyDescent="0.25">
      <c r="A22" s="351">
        <v>27</v>
      </c>
      <c r="B22" s="352" t="s">
        <v>58</v>
      </c>
      <c r="C22" s="340" t="s">
        <v>130</v>
      </c>
      <c r="D22" s="249" t="s">
        <v>23</v>
      </c>
      <c r="E22" s="249" t="s">
        <v>17</v>
      </c>
      <c r="F22" s="250" t="s">
        <v>219</v>
      </c>
      <c r="G22" s="356" t="s">
        <v>256</v>
      </c>
      <c r="H22" s="251" t="s">
        <v>435</v>
      </c>
      <c r="I22" s="252" t="s">
        <v>439</v>
      </c>
    </row>
    <row r="23" spans="1:9" x14ac:dyDescent="0.25">
      <c r="A23" s="341">
        <v>1</v>
      </c>
      <c r="B23" s="342" t="s">
        <v>81</v>
      </c>
      <c r="C23" s="343" t="s">
        <v>491</v>
      </c>
      <c r="D23" s="341" t="s">
        <v>487</v>
      </c>
      <c r="E23" s="341" t="s">
        <v>17</v>
      </c>
      <c r="F23" s="342" t="s">
        <v>31</v>
      </c>
      <c r="G23" s="354" t="s">
        <v>240</v>
      </c>
      <c r="H23" s="344" t="s">
        <v>476</v>
      </c>
      <c r="I23" s="345" t="s">
        <v>475</v>
      </c>
    </row>
    <row r="24" spans="1:9" s="74" customFormat="1" x14ac:dyDescent="0.25">
      <c r="A24" s="346">
        <v>9</v>
      </c>
      <c r="B24" s="347" t="s">
        <v>79</v>
      </c>
      <c r="C24" s="348" t="s">
        <v>448</v>
      </c>
      <c r="D24" s="346" t="s">
        <v>487</v>
      </c>
      <c r="E24" s="346" t="s">
        <v>17</v>
      </c>
      <c r="F24" s="347" t="s">
        <v>18</v>
      </c>
      <c r="G24" s="355">
        <v>26</v>
      </c>
      <c r="H24" s="349" t="s">
        <v>436</v>
      </c>
      <c r="I24" s="350" t="s">
        <v>440</v>
      </c>
    </row>
    <row r="25" spans="1:9" x14ac:dyDescent="0.25">
      <c r="A25" s="346">
        <v>11</v>
      </c>
      <c r="B25" s="347" t="s">
        <v>78</v>
      </c>
      <c r="C25" s="348" t="s">
        <v>447</v>
      </c>
      <c r="D25" s="346" t="s">
        <v>487</v>
      </c>
      <c r="E25" s="346" t="s">
        <v>17</v>
      </c>
      <c r="F25" s="347" t="s">
        <v>142</v>
      </c>
      <c r="G25" s="355">
        <v>29</v>
      </c>
      <c r="H25" s="349" t="s">
        <v>434</v>
      </c>
      <c r="I25" s="350" t="s">
        <v>439</v>
      </c>
    </row>
    <row r="26" spans="1:9" x14ac:dyDescent="0.25">
      <c r="A26" s="346">
        <v>15</v>
      </c>
      <c r="B26" s="347" t="s">
        <v>73</v>
      </c>
      <c r="C26" s="348" t="s">
        <v>145</v>
      </c>
      <c r="D26" s="346" t="s">
        <v>179</v>
      </c>
      <c r="E26" s="346" t="s">
        <v>17</v>
      </c>
      <c r="F26" s="347" t="s">
        <v>202</v>
      </c>
      <c r="G26" s="355">
        <v>32</v>
      </c>
      <c r="H26" s="349" t="s">
        <v>432</v>
      </c>
      <c r="I26" s="350" t="s">
        <v>437</v>
      </c>
    </row>
    <row r="27" spans="1:9" s="68" customFormat="1" x14ac:dyDescent="0.25">
      <c r="A27" s="351">
        <v>21</v>
      </c>
      <c r="B27" s="352" t="s">
        <v>74</v>
      </c>
      <c r="C27" s="340" t="s">
        <v>147</v>
      </c>
      <c r="D27" s="249" t="s">
        <v>179</v>
      </c>
      <c r="E27" s="249" t="s">
        <v>17</v>
      </c>
      <c r="F27" s="250" t="s">
        <v>20</v>
      </c>
      <c r="G27" s="356" t="s">
        <v>248</v>
      </c>
      <c r="H27" s="251" t="s">
        <v>432</v>
      </c>
      <c r="I27" s="252" t="s">
        <v>437</v>
      </c>
    </row>
    <row r="28" spans="1:9" s="74" customFormat="1" x14ac:dyDescent="0.25">
      <c r="A28" s="341">
        <v>3</v>
      </c>
      <c r="B28" s="342" t="s">
        <v>103</v>
      </c>
      <c r="C28" s="357" t="s">
        <v>494</v>
      </c>
      <c r="D28" s="341" t="s">
        <v>490</v>
      </c>
      <c r="E28" s="341" t="s">
        <v>17</v>
      </c>
      <c r="F28" s="342" t="s">
        <v>148</v>
      </c>
      <c r="G28" s="354" t="s">
        <v>242</v>
      </c>
      <c r="H28" s="344" t="s">
        <v>435</v>
      </c>
      <c r="I28" s="345" t="s">
        <v>439</v>
      </c>
    </row>
    <row r="29" spans="1:9" x14ac:dyDescent="0.25">
      <c r="A29" s="341">
        <v>7</v>
      </c>
      <c r="B29" s="342" t="s">
        <v>50</v>
      </c>
      <c r="C29" s="343" t="s">
        <v>482</v>
      </c>
      <c r="D29" s="341" t="s">
        <v>484</v>
      </c>
      <c r="E29" s="341" t="s">
        <v>17</v>
      </c>
      <c r="F29" s="342" t="s">
        <v>197</v>
      </c>
      <c r="G29" s="354" t="s">
        <v>250</v>
      </c>
      <c r="H29" s="344" t="s">
        <v>431</v>
      </c>
      <c r="I29" s="345" t="s">
        <v>437</v>
      </c>
    </row>
    <row r="30" spans="1:9" s="74" customFormat="1" x14ac:dyDescent="0.25">
      <c r="A30" s="341">
        <v>8</v>
      </c>
      <c r="B30" s="342" t="s">
        <v>51</v>
      </c>
      <c r="C30" s="343" t="s">
        <v>483</v>
      </c>
      <c r="D30" s="341" t="s">
        <v>484</v>
      </c>
      <c r="E30" s="341" t="s">
        <v>17</v>
      </c>
      <c r="F30" s="342" t="s">
        <v>198</v>
      </c>
      <c r="G30" s="354" t="s">
        <v>251</v>
      </c>
      <c r="H30" s="344" t="s">
        <v>431</v>
      </c>
      <c r="I30" s="345" t="s">
        <v>437</v>
      </c>
    </row>
    <row r="31" spans="1:9" x14ac:dyDescent="0.25">
      <c r="A31" s="346">
        <v>12</v>
      </c>
      <c r="B31" s="347" t="s">
        <v>13</v>
      </c>
      <c r="C31" s="348" t="s">
        <v>115</v>
      </c>
      <c r="D31" s="346" t="s">
        <v>19</v>
      </c>
      <c r="E31" s="346" t="s">
        <v>17</v>
      </c>
      <c r="F31" s="347" t="s">
        <v>124</v>
      </c>
      <c r="G31" s="355">
        <v>28</v>
      </c>
      <c r="H31" s="349" t="s">
        <v>434</v>
      </c>
      <c r="I31" s="350" t="s">
        <v>439</v>
      </c>
    </row>
    <row r="32" spans="1:9" x14ac:dyDescent="0.25">
      <c r="A32" s="346">
        <v>17</v>
      </c>
      <c r="B32" s="347" t="s">
        <v>53</v>
      </c>
      <c r="C32" s="348" t="s">
        <v>126</v>
      </c>
      <c r="D32" s="346" t="s">
        <v>19</v>
      </c>
      <c r="E32" s="346" t="s">
        <v>17</v>
      </c>
      <c r="F32" s="347" t="s">
        <v>204</v>
      </c>
      <c r="G32" s="355">
        <v>34</v>
      </c>
      <c r="H32" s="349" t="s">
        <v>431</v>
      </c>
      <c r="I32" s="350" t="s">
        <v>437</v>
      </c>
    </row>
    <row r="33" spans="1:9" x14ac:dyDescent="0.25">
      <c r="A33" s="351">
        <v>20</v>
      </c>
      <c r="B33" s="352" t="s">
        <v>47</v>
      </c>
      <c r="C33" s="340" t="s">
        <v>119</v>
      </c>
      <c r="D33" s="249" t="s">
        <v>19</v>
      </c>
      <c r="E33" s="249" t="s">
        <v>17</v>
      </c>
      <c r="F33" s="250" t="s">
        <v>30</v>
      </c>
      <c r="G33" s="356" t="s">
        <v>247</v>
      </c>
      <c r="H33" s="251" t="s">
        <v>431</v>
      </c>
      <c r="I33" s="252" t="s">
        <v>437</v>
      </c>
    </row>
    <row r="34" spans="1:9" x14ac:dyDescent="0.25">
      <c r="A34" s="351">
        <v>22</v>
      </c>
      <c r="B34" s="352" t="s">
        <v>45</v>
      </c>
      <c r="C34" s="359" t="s">
        <v>117</v>
      </c>
      <c r="D34" s="249" t="s">
        <v>484</v>
      </c>
      <c r="E34" s="249" t="s">
        <v>17</v>
      </c>
      <c r="F34" s="250" t="s">
        <v>140</v>
      </c>
      <c r="G34" s="356" t="s">
        <v>249</v>
      </c>
      <c r="H34" s="251" t="s">
        <v>433</v>
      </c>
      <c r="I34" s="252" t="s">
        <v>438</v>
      </c>
    </row>
  </sheetData>
  <sortState ref="A7:I34">
    <sortCondition ref="D7:D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15" zoomScaleNormal="130" zoomScaleSheetLayoutView="115" workbookViewId="0">
      <pane xSplit="2" ySplit="6" topLeftCell="C46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J50" sqref="J50:K50"/>
    </sheetView>
  </sheetViews>
  <sheetFormatPr defaultColWidth="9" defaultRowHeight="11.25" x14ac:dyDescent="0.2"/>
  <cols>
    <col min="1" max="1" width="2.25" style="37" bestFit="1" customWidth="1"/>
    <col min="2" max="2" width="4" style="37" customWidth="1"/>
    <col min="3" max="3" width="2.625" style="37" customWidth="1"/>
    <col min="4" max="6" width="2.5" style="37" customWidth="1"/>
    <col min="7" max="19" width="2.125" style="37" customWidth="1"/>
    <col min="20" max="20" width="1.75" style="37" customWidth="1"/>
    <col min="21" max="37" width="2.125" style="37" customWidth="1"/>
    <col min="38" max="40" width="1.75" style="37" customWidth="1"/>
    <col min="41" max="41" width="2.125" style="37" customWidth="1"/>
    <col min="42" max="43" width="2.5" style="37" customWidth="1"/>
    <col min="44" max="44" width="2.125" style="37" customWidth="1"/>
    <col min="45" max="45" width="2.5" style="37" bestFit="1" customWidth="1"/>
    <col min="46" max="46" width="2.125" style="37" customWidth="1"/>
    <col min="47" max="47" width="2.625" style="37" customWidth="1"/>
    <col min="48" max="48" width="2.25" style="37" customWidth="1"/>
    <col min="49" max="49" width="2.1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125" style="37" customWidth="1"/>
    <col min="57" max="60" width="1.75" style="37" customWidth="1"/>
    <col min="61" max="61" width="3.75" style="37" bestFit="1" customWidth="1"/>
    <col min="62" max="16384" width="9" style="37"/>
  </cols>
  <sheetData>
    <row r="1" spans="1:60" ht="12.75" customHeight="1" x14ac:dyDescent="0.2">
      <c r="A1" s="509" t="s">
        <v>0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50" t="s">
        <v>330</v>
      </c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  <c r="AN1" s="550"/>
      <c r="AO1" s="550"/>
      <c r="AP1" s="550"/>
      <c r="AQ1" s="550"/>
      <c r="AR1" s="550"/>
      <c r="AS1" s="550"/>
      <c r="AT1" s="550"/>
      <c r="AU1" s="550"/>
      <c r="AV1" s="550"/>
      <c r="AW1" s="550"/>
      <c r="AX1" s="550"/>
      <c r="AY1" s="550"/>
      <c r="AZ1" s="550"/>
      <c r="BA1" s="550"/>
      <c r="BB1" s="550"/>
      <c r="BC1" s="550"/>
      <c r="BD1" s="550"/>
      <c r="BE1" s="550"/>
      <c r="BF1" s="550"/>
      <c r="BG1" s="550"/>
      <c r="BH1" s="550"/>
    </row>
    <row r="2" spans="1:60" ht="15.75" x14ac:dyDescent="0.25">
      <c r="A2" s="556" t="s">
        <v>1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550"/>
      <c r="AQ2" s="550"/>
      <c r="AR2" s="550"/>
      <c r="AS2" s="550"/>
      <c r="AT2" s="550"/>
      <c r="AU2" s="550"/>
      <c r="AV2" s="550"/>
      <c r="AW2" s="550"/>
      <c r="AX2" s="550"/>
      <c r="AY2" s="550"/>
      <c r="AZ2" s="550"/>
      <c r="BA2" s="550"/>
      <c r="BB2" s="550"/>
      <c r="BC2" s="550"/>
      <c r="BD2" s="550"/>
      <c r="BE2" s="550"/>
      <c r="BF2" s="550"/>
      <c r="BG2" s="550"/>
      <c r="BH2" s="550"/>
    </row>
    <row r="3" spans="1:60" ht="15.75" x14ac:dyDescent="0.25">
      <c r="A3" s="558" t="s">
        <v>342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  <c r="W3" s="558"/>
      <c r="X3" s="558"/>
      <c r="Y3" s="558"/>
      <c r="Z3" s="558"/>
      <c r="AA3" s="558"/>
      <c r="AB3" s="558"/>
      <c r="AC3" s="558"/>
      <c r="AD3" s="558"/>
      <c r="AE3" s="558"/>
      <c r="AF3" s="558"/>
      <c r="AG3" s="558"/>
      <c r="AH3" s="558"/>
      <c r="AI3" s="558"/>
      <c r="AJ3" s="558"/>
      <c r="AK3" s="558"/>
      <c r="AL3" s="558"/>
      <c r="AM3" s="558"/>
      <c r="AN3" s="558"/>
      <c r="AO3" s="558"/>
      <c r="AP3" s="558"/>
      <c r="AQ3" s="558"/>
      <c r="AR3" s="558"/>
      <c r="AS3" s="558"/>
      <c r="AT3" s="558"/>
      <c r="AU3" s="558"/>
      <c r="AV3" s="558"/>
      <c r="AW3" s="558"/>
      <c r="AX3" s="558"/>
      <c r="AY3" s="558"/>
      <c r="AZ3" s="558"/>
      <c r="BA3" s="558"/>
      <c r="BB3" s="558"/>
      <c r="BC3" s="558"/>
      <c r="BD3" s="558"/>
      <c r="BE3" s="558"/>
      <c r="BF3" s="558"/>
      <c r="BG3" s="558"/>
      <c r="BH3" s="558"/>
    </row>
    <row r="4" spans="1:60" ht="6" customHeight="1" x14ac:dyDescent="0.3">
      <c r="A4" s="10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</row>
    <row r="5" spans="1:60" s="103" customFormat="1" ht="12.75" customHeight="1" x14ac:dyDescent="0.25">
      <c r="A5" s="541" t="s">
        <v>2</v>
      </c>
      <c r="B5" s="541" t="s">
        <v>35</v>
      </c>
      <c r="C5" s="541" t="s">
        <v>28</v>
      </c>
      <c r="D5" s="575" t="s">
        <v>183</v>
      </c>
      <c r="E5" s="575"/>
      <c r="F5" s="575"/>
      <c r="G5" s="575"/>
      <c r="H5" s="575"/>
      <c r="I5" s="575"/>
      <c r="J5" s="575"/>
      <c r="K5" s="575"/>
      <c r="L5" s="575"/>
      <c r="M5" s="575"/>
      <c r="N5" s="575"/>
      <c r="O5" s="575"/>
      <c r="P5" s="575"/>
      <c r="Q5" s="575"/>
      <c r="R5" s="575"/>
      <c r="S5" s="575"/>
      <c r="T5" s="575"/>
      <c r="U5" s="575"/>
      <c r="V5" s="575"/>
      <c r="W5" s="575" t="s">
        <v>185</v>
      </c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75"/>
      <c r="AO5" s="575"/>
      <c r="AP5" s="580" t="s">
        <v>312</v>
      </c>
      <c r="AQ5" s="581"/>
      <c r="AR5" s="581"/>
      <c r="AS5" s="581"/>
      <c r="AT5" s="581"/>
      <c r="AU5" s="581"/>
      <c r="AV5" s="581"/>
      <c r="AW5" s="581"/>
      <c r="AX5" s="581"/>
      <c r="AY5" s="581"/>
      <c r="AZ5" s="581"/>
      <c r="BA5" s="581"/>
      <c r="BB5" s="581"/>
      <c r="BC5" s="581"/>
      <c r="BD5" s="581"/>
      <c r="BE5" s="581"/>
      <c r="BF5" s="581"/>
      <c r="BG5" s="582"/>
      <c r="BH5" s="574" t="s">
        <v>38</v>
      </c>
    </row>
    <row r="6" spans="1:60" s="185" customFormat="1" ht="38.1" customHeight="1" x14ac:dyDescent="0.25">
      <c r="A6" s="541"/>
      <c r="B6" s="541"/>
      <c r="C6" s="541"/>
      <c r="D6" s="181" t="s">
        <v>180</v>
      </c>
      <c r="E6" s="181" t="s">
        <v>14</v>
      </c>
      <c r="F6" s="181" t="s">
        <v>182</v>
      </c>
      <c r="G6" s="181" t="s">
        <v>34</v>
      </c>
      <c r="H6" s="181" t="s">
        <v>36</v>
      </c>
      <c r="I6" s="181" t="s">
        <v>181</v>
      </c>
      <c r="J6" s="181" t="s">
        <v>310</v>
      </c>
      <c r="K6" s="181" t="s">
        <v>308</v>
      </c>
      <c r="L6" s="181" t="s">
        <v>178</v>
      </c>
      <c r="M6" s="181" t="s">
        <v>26</v>
      </c>
      <c r="N6" s="181" t="s">
        <v>179</v>
      </c>
      <c r="O6" s="181" t="s">
        <v>32</v>
      </c>
      <c r="P6" s="181" t="s">
        <v>311</v>
      </c>
      <c r="Q6" s="181" t="s">
        <v>22</v>
      </c>
      <c r="R6" s="181" t="s">
        <v>322</v>
      </c>
      <c r="S6" s="181" t="s">
        <v>326</v>
      </c>
      <c r="T6" s="181" t="s">
        <v>313</v>
      </c>
      <c r="U6" s="181" t="s">
        <v>314</v>
      </c>
      <c r="V6" s="182" t="s">
        <v>184</v>
      </c>
      <c r="W6" s="181" t="s">
        <v>180</v>
      </c>
      <c r="X6" s="181" t="s">
        <v>14</v>
      </c>
      <c r="Y6" s="181" t="s">
        <v>182</v>
      </c>
      <c r="Z6" s="181" t="s">
        <v>34</v>
      </c>
      <c r="AA6" s="181" t="s">
        <v>36</v>
      </c>
      <c r="AB6" s="181" t="s">
        <v>181</v>
      </c>
      <c r="AC6" s="181" t="s">
        <v>310</v>
      </c>
      <c r="AD6" s="181" t="s">
        <v>309</v>
      </c>
      <c r="AE6" s="181" t="s">
        <v>178</v>
      </c>
      <c r="AF6" s="181" t="s">
        <v>26</v>
      </c>
      <c r="AG6" s="181" t="s">
        <v>179</v>
      </c>
      <c r="AH6" s="181" t="s">
        <v>32</v>
      </c>
      <c r="AI6" s="181" t="s">
        <v>311</v>
      </c>
      <c r="AJ6" s="181" t="s">
        <v>22</v>
      </c>
      <c r="AK6" s="183" t="s">
        <v>322</v>
      </c>
      <c r="AL6" s="181" t="s">
        <v>326</v>
      </c>
      <c r="AM6" s="181" t="s">
        <v>313</v>
      </c>
      <c r="AN6" s="181" t="s">
        <v>314</v>
      </c>
      <c r="AO6" s="184" t="s">
        <v>184</v>
      </c>
      <c r="AP6" s="181" t="s">
        <v>180</v>
      </c>
      <c r="AQ6" s="181" t="s">
        <v>14</v>
      </c>
      <c r="AR6" s="181" t="s">
        <v>182</v>
      </c>
      <c r="AS6" s="181" t="s">
        <v>34</v>
      </c>
      <c r="AT6" s="181" t="s">
        <v>36</v>
      </c>
      <c r="AU6" s="181" t="s">
        <v>181</v>
      </c>
      <c r="AV6" s="181" t="s">
        <v>310</v>
      </c>
      <c r="AW6" s="181" t="s">
        <v>308</v>
      </c>
      <c r="AX6" s="181" t="s">
        <v>178</v>
      </c>
      <c r="AY6" s="181" t="s">
        <v>26</v>
      </c>
      <c r="AZ6" s="181" t="s">
        <v>179</v>
      </c>
      <c r="BA6" s="181" t="s">
        <v>32</v>
      </c>
      <c r="BB6" s="181" t="s">
        <v>311</v>
      </c>
      <c r="BC6" s="181" t="s">
        <v>22</v>
      </c>
      <c r="BD6" s="181" t="s">
        <v>322</v>
      </c>
      <c r="BE6" s="181" t="s">
        <v>326</v>
      </c>
      <c r="BF6" s="181" t="s">
        <v>313</v>
      </c>
      <c r="BG6" s="181" t="s">
        <v>314</v>
      </c>
      <c r="BH6" s="574"/>
    </row>
    <row r="7" spans="1:60" s="339" customFormat="1" x14ac:dyDescent="0.2">
      <c r="A7" s="336">
        <v>1</v>
      </c>
      <c r="B7" s="200" t="s">
        <v>31</v>
      </c>
      <c r="C7" s="201">
        <v>5</v>
      </c>
      <c r="D7" s="214">
        <v>3</v>
      </c>
      <c r="E7" s="214">
        <v>4</v>
      </c>
      <c r="F7" s="214">
        <v>3</v>
      </c>
      <c r="G7" s="214">
        <v>2</v>
      </c>
      <c r="H7" s="214">
        <v>1</v>
      </c>
      <c r="I7" s="214">
        <v>2</v>
      </c>
      <c r="J7" s="214">
        <v>1</v>
      </c>
      <c r="K7" s="214">
        <v>1</v>
      </c>
      <c r="L7" s="215">
        <v>2</v>
      </c>
      <c r="M7" s="215">
        <v>3</v>
      </c>
      <c r="N7" s="215"/>
      <c r="O7" s="216">
        <v>3</v>
      </c>
      <c r="P7" s="216"/>
      <c r="Q7" s="215"/>
      <c r="R7" s="215"/>
      <c r="S7" s="215">
        <v>2</v>
      </c>
      <c r="T7" s="215"/>
      <c r="U7" s="215"/>
      <c r="V7" s="337">
        <f>SUM(C7:U7)</f>
        <v>32</v>
      </c>
      <c r="W7" s="217">
        <v>3</v>
      </c>
      <c r="X7" s="217">
        <v>4</v>
      </c>
      <c r="Y7" s="217">
        <v>3</v>
      </c>
      <c r="Z7" s="217">
        <v>2</v>
      </c>
      <c r="AA7" s="217">
        <v>1</v>
      </c>
      <c r="AB7" s="217">
        <v>1</v>
      </c>
      <c r="AC7" s="217">
        <v>1</v>
      </c>
      <c r="AD7" s="217">
        <v>1</v>
      </c>
      <c r="AE7" s="216">
        <v>2</v>
      </c>
      <c r="AF7" s="216">
        <v>3</v>
      </c>
      <c r="AG7" s="216"/>
      <c r="AH7" s="216">
        <v>3</v>
      </c>
      <c r="AI7" s="216"/>
      <c r="AJ7" s="216"/>
      <c r="AK7" s="216"/>
      <c r="AL7" s="216">
        <v>2</v>
      </c>
      <c r="AM7" s="216"/>
      <c r="AN7" s="216"/>
      <c r="AO7" s="338">
        <f>SUM(W7:AN7)+C7</f>
        <v>31</v>
      </c>
      <c r="AP7" s="211">
        <v>4</v>
      </c>
      <c r="AQ7" s="211" t="s">
        <v>368</v>
      </c>
      <c r="AR7" s="211">
        <v>4</v>
      </c>
      <c r="AS7" s="211">
        <v>2</v>
      </c>
      <c r="AT7" s="211">
        <v>2</v>
      </c>
      <c r="AU7" s="211">
        <v>3</v>
      </c>
      <c r="AV7" s="211">
        <v>2</v>
      </c>
      <c r="AW7" s="211">
        <v>2</v>
      </c>
      <c r="AX7" s="211">
        <v>3</v>
      </c>
      <c r="AY7" s="211" t="s">
        <v>369</v>
      </c>
      <c r="AZ7" s="211"/>
      <c r="BA7" s="211" t="s">
        <v>369</v>
      </c>
      <c r="BB7" s="211">
        <v>3</v>
      </c>
      <c r="BC7" s="211"/>
      <c r="BD7" s="211"/>
      <c r="BE7" s="211">
        <v>3</v>
      </c>
      <c r="BF7" s="211"/>
      <c r="BG7" s="211"/>
      <c r="BH7" s="218">
        <v>0</v>
      </c>
    </row>
    <row r="8" spans="1:60" s="339" customFormat="1" x14ac:dyDescent="0.2">
      <c r="A8" s="336">
        <v>2</v>
      </c>
      <c r="B8" s="200" t="s">
        <v>21</v>
      </c>
      <c r="C8" s="201">
        <v>5</v>
      </c>
      <c r="D8" s="214">
        <v>3</v>
      </c>
      <c r="E8" s="214">
        <v>4</v>
      </c>
      <c r="F8" s="214">
        <v>3</v>
      </c>
      <c r="G8" s="214">
        <v>2</v>
      </c>
      <c r="H8" s="214">
        <v>1</v>
      </c>
      <c r="I8" s="214">
        <v>3</v>
      </c>
      <c r="J8" s="214">
        <v>1</v>
      </c>
      <c r="K8" s="214">
        <v>1</v>
      </c>
      <c r="L8" s="215">
        <v>2</v>
      </c>
      <c r="M8" s="215"/>
      <c r="N8" s="215"/>
      <c r="O8" s="216">
        <v>3</v>
      </c>
      <c r="P8" s="216">
        <v>2</v>
      </c>
      <c r="Q8" s="215"/>
      <c r="R8" s="215">
        <v>2</v>
      </c>
      <c r="S8" s="215"/>
      <c r="T8" s="215"/>
      <c r="U8" s="215"/>
      <c r="V8" s="337">
        <f t="shared" ref="V8:V14" si="0">SUM(C8:U8)</f>
        <v>32</v>
      </c>
      <c r="W8" s="217">
        <v>3</v>
      </c>
      <c r="X8" s="217">
        <v>4</v>
      </c>
      <c r="Y8" s="217">
        <v>3</v>
      </c>
      <c r="Z8" s="217">
        <v>2</v>
      </c>
      <c r="AA8" s="217">
        <v>1</v>
      </c>
      <c r="AB8" s="217">
        <v>2</v>
      </c>
      <c r="AC8" s="217">
        <v>1</v>
      </c>
      <c r="AD8" s="217">
        <v>1</v>
      </c>
      <c r="AE8" s="216">
        <v>2</v>
      </c>
      <c r="AF8" s="216"/>
      <c r="AG8" s="216"/>
      <c r="AH8" s="216">
        <v>3</v>
      </c>
      <c r="AI8" s="216">
        <v>2</v>
      </c>
      <c r="AJ8" s="216"/>
      <c r="AK8" s="216">
        <v>2</v>
      </c>
      <c r="AL8" s="216"/>
      <c r="AM8" s="216"/>
      <c r="AN8" s="216"/>
      <c r="AO8" s="338">
        <f t="shared" ref="AO8:AO36" si="1">SUM(W8:AN8)+C8</f>
        <v>31</v>
      </c>
      <c r="AP8" s="211">
        <v>4</v>
      </c>
      <c r="AQ8" s="211" t="s">
        <v>368</v>
      </c>
      <c r="AR8" s="211">
        <v>4</v>
      </c>
      <c r="AS8" s="211">
        <v>2</v>
      </c>
      <c r="AT8" s="211">
        <v>2</v>
      </c>
      <c r="AU8" s="211" t="s">
        <v>369</v>
      </c>
      <c r="AV8" s="211">
        <v>2</v>
      </c>
      <c r="AW8" s="211">
        <v>2</v>
      </c>
      <c r="AX8" s="211">
        <v>3</v>
      </c>
      <c r="AY8" s="211"/>
      <c r="AZ8" s="211"/>
      <c r="BA8" s="211" t="s">
        <v>369</v>
      </c>
      <c r="BB8" s="211">
        <v>3</v>
      </c>
      <c r="BC8" s="211"/>
      <c r="BD8" s="211">
        <v>3</v>
      </c>
      <c r="BE8" s="211"/>
      <c r="BF8" s="211"/>
      <c r="BG8" s="211"/>
      <c r="BH8" s="218">
        <v>0</v>
      </c>
    </row>
    <row r="9" spans="1:60" s="339" customFormat="1" x14ac:dyDescent="0.2">
      <c r="A9" s="336">
        <v>3</v>
      </c>
      <c r="B9" s="200" t="s">
        <v>148</v>
      </c>
      <c r="C9" s="201">
        <v>5</v>
      </c>
      <c r="D9" s="214">
        <v>3</v>
      </c>
      <c r="E9" s="214">
        <v>4</v>
      </c>
      <c r="F9" s="214">
        <v>3</v>
      </c>
      <c r="G9" s="214">
        <v>2</v>
      </c>
      <c r="H9" s="214">
        <v>1</v>
      </c>
      <c r="I9" s="214">
        <v>2</v>
      </c>
      <c r="J9" s="214">
        <v>1</v>
      </c>
      <c r="K9" s="214">
        <v>1</v>
      </c>
      <c r="L9" s="215">
        <v>3</v>
      </c>
      <c r="M9" s="215"/>
      <c r="N9" s="215"/>
      <c r="O9" s="216">
        <v>3</v>
      </c>
      <c r="P9" s="216">
        <v>2</v>
      </c>
      <c r="Q9" s="215">
        <v>2</v>
      </c>
      <c r="R9" s="215"/>
      <c r="S9" s="215"/>
      <c r="T9" s="215"/>
      <c r="U9" s="215"/>
      <c r="V9" s="337">
        <f t="shared" si="0"/>
        <v>32</v>
      </c>
      <c r="W9" s="217">
        <v>3</v>
      </c>
      <c r="X9" s="217">
        <v>4</v>
      </c>
      <c r="Y9" s="217">
        <v>3</v>
      </c>
      <c r="Z9" s="217">
        <v>2</v>
      </c>
      <c r="AA9" s="217">
        <v>1</v>
      </c>
      <c r="AB9" s="217">
        <v>1</v>
      </c>
      <c r="AC9" s="217">
        <v>1</v>
      </c>
      <c r="AD9" s="217">
        <v>1</v>
      </c>
      <c r="AE9" s="216">
        <v>3</v>
      </c>
      <c r="AF9" s="216"/>
      <c r="AG9" s="216"/>
      <c r="AH9" s="216">
        <v>3</v>
      </c>
      <c r="AI9" s="216">
        <v>2</v>
      </c>
      <c r="AJ9" s="216">
        <v>2</v>
      </c>
      <c r="AK9" s="216"/>
      <c r="AL9" s="216"/>
      <c r="AM9" s="216"/>
      <c r="AN9" s="216"/>
      <c r="AO9" s="338">
        <f t="shared" si="1"/>
        <v>31</v>
      </c>
      <c r="AP9" s="211">
        <v>4</v>
      </c>
      <c r="AQ9" s="211" t="s">
        <v>368</v>
      </c>
      <c r="AR9" s="211">
        <v>4</v>
      </c>
      <c r="AS9" s="211">
        <v>2</v>
      </c>
      <c r="AT9" s="211">
        <v>2</v>
      </c>
      <c r="AU9" s="211">
        <v>3</v>
      </c>
      <c r="AV9" s="211">
        <v>2</v>
      </c>
      <c r="AW9" s="211">
        <v>2</v>
      </c>
      <c r="AX9" s="211" t="s">
        <v>369</v>
      </c>
      <c r="AY9" s="211"/>
      <c r="AZ9" s="211"/>
      <c r="BA9" s="211" t="s">
        <v>369</v>
      </c>
      <c r="BB9" s="211">
        <v>3</v>
      </c>
      <c r="BC9" s="211">
        <v>3</v>
      </c>
      <c r="BD9" s="211"/>
      <c r="BE9" s="211"/>
      <c r="BF9" s="211"/>
      <c r="BG9" s="211"/>
      <c r="BH9" s="218">
        <v>0</v>
      </c>
    </row>
    <row r="10" spans="1:60" s="339" customFormat="1" x14ac:dyDescent="0.2">
      <c r="A10" s="336">
        <v>4</v>
      </c>
      <c r="B10" s="200" t="s">
        <v>121</v>
      </c>
      <c r="C10" s="201">
        <v>5</v>
      </c>
      <c r="D10" s="214">
        <v>3</v>
      </c>
      <c r="E10" s="214">
        <v>4</v>
      </c>
      <c r="F10" s="214">
        <v>3</v>
      </c>
      <c r="G10" s="214">
        <v>2</v>
      </c>
      <c r="H10" s="214">
        <v>1</v>
      </c>
      <c r="I10" s="214">
        <v>2</v>
      </c>
      <c r="J10" s="214">
        <v>1</v>
      </c>
      <c r="K10" s="214">
        <v>1</v>
      </c>
      <c r="L10" s="215">
        <v>3</v>
      </c>
      <c r="M10" s="215"/>
      <c r="N10" s="215"/>
      <c r="O10" s="216">
        <v>3</v>
      </c>
      <c r="P10" s="216"/>
      <c r="Q10" s="215">
        <v>2</v>
      </c>
      <c r="R10" s="215">
        <v>2</v>
      </c>
      <c r="S10" s="215"/>
      <c r="T10" s="215"/>
      <c r="U10" s="215"/>
      <c r="V10" s="337">
        <f t="shared" si="0"/>
        <v>32</v>
      </c>
      <c r="W10" s="217">
        <v>3</v>
      </c>
      <c r="X10" s="217">
        <v>4</v>
      </c>
      <c r="Y10" s="217">
        <v>3</v>
      </c>
      <c r="Z10" s="217">
        <v>2</v>
      </c>
      <c r="AA10" s="217">
        <v>1</v>
      </c>
      <c r="AB10" s="217">
        <v>1</v>
      </c>
      <c r="AC10" s="217">
        <v>1</v>
      </c>
      <c r="AD10" s="217">
        <v>1</v>
      </c>
      <c r="AE10" s="216">
        <v>3</v>
      </c>
      <c r="AF10" s="216"/>
      <c r="AG10" s="216"/>
      <c r="AH10" s="216">
        <v>3</v>
      </c>
      <c r="AI10" s="216"/>
      <c r="AJ10" s="216">
        <v>2</v>
      </c>
      <c r="AK10" s="216">
        <v>2</v>
      </c>
      <c r="AL10" s="216"/>
      <c r="AM10" s="216"/>
      <c r="AN10" s="216"/>
      <c r="AO10" s="338">
        <f t="shared" si="1"/>
        <v>31</v>
      </c>
      <c r="AP10" s="211">
        <v>4</v>
      </c>
      <c r="AQ10" s="211" t="s">
        <v>368</v>
      </c>
      <c r="AR10" s="211">
        <v>4</v>
      </c>
      <c r="AS10" s="211">
        <v>2</v>
      </c>
      <c r="AT10" s="211">
        <v>2</v>
      </c>
      <c r="AU10" s="211">
        <v>3</v>
      </c>
      <c r="AV10" s="211">
        <v>2</v>
      </c>
      <c r="AW10" s="211">
        <v>2</v>
      </c>
      <c r="AX10" s="211" t="s">
        <v>369</v>
      </c>
      <c r="AY10" s="211"/>
      <c r="AZ10" s="211"/>
      <c r="BA10" s="211" t="s">
        <v>369</v>
      </c>
      <c r="BB10" s="211"/>
      <c r="BC10" s="211">
        <v>3</v>
      </c>
      <c r="BD10" s="211">
        <v>3</v>
      </c>
      <c r="BE10" s="211"/>
      <c r="BF10" s="211"/>
      <c r="BG10" s="211"/>
      <c r="BH10" s="218">
        <v>0</v>
      </c>
    </row>
    <row r="11" spans="1:60" s="339" customFormat="1" x14ac:dyDescent="0.2">
      <c r="A11" s="336">
        <v>5</v>
      </c>
      <c r="B11" s="200" t="s">
        <v>116</v>
      </c>
      <c r="C11" s="201">
        <v>5</v>
      </c>
      <c r="D11" s="214">
        <v>4</v>
      </c>
      <c r="E11" s="214">
        <v>4</v>
      </c>
      <c r="F11" s="214">
        <v>3</v>
      </c>
      <c r="G11" s="214">
        <v>2</v>
      </c>
      <c r="H11" s="214">
        <v>1</v>
      </c>
      <c r="I11" s="214">
        <v>2</v>
      </c>
      <c r="J11" s="214">
        <v>1</v>
      </c>
      <c r="K11" s="214">
        <v>1</v>
      </c>
      <c r="L11" s="215"/>
      <c r="M11" s="215">
        <v>3</v>
      </c>
      <c r="N11" s="215"/>
      <c r="O11" s="216"/>
      <c r="P11" s="216">
        <v>2</v>
      </c>
      <c r="Q11" s="215">
        <v>2</v>
      </c>
      <c r="R11" s="215">
        <v>2</v>
      </c>
      <c r="S11" s="215"/>
      <c r="T11" s="215"/>
      <c r="U11" s="215"/>
      <c r="V11" s="337">
        <f t="shared" si="0"/>
        <v>32</v>
      </c>
      <c r="W11" s="217">
        <v>4</v>
      </c>
      <c r="X11" s="217">
        <v>4</v>
      </c>
      <c r="Y11" s="217">
        <v>3</v>
      </c>
      <c r="Z11" s="217">
        <v>2</v>
      </c>
      <c r="AA11" s="217">
        <v>1</v>
      </c>
      <c r="AB11" s="217">
        <v>1</v>
      </c>
      <c r="AC11" s="217">
        <v>1</v>
      </c>
      <c r="AD11" s="217">
        <v>1</v>
      </c>
      <c r="AE11" s="216"/>
      <c r="AF11" s="216">
        <v>3</v>
      </c>
      <c r="AG11" s="216"/>
      <c r="AH11" s="216"/>
      <c r="AI11" s="216">
        <v>2</v>
      </c>
      <c r="AJ11" s="216">
        <v>2</v>
      </c>
      <c r="AK11" s="216">
        <v>2</v>
      </c>
      <c r="AL11" s="216"/>
      <c r="AM11" s="216"/>
      <c r="AN11" s="216"/>
      <c r="AO11" s="338">
        <f t="shared" si="1"/>
        <v>31</v>
      </c>
      <c r="AP11" s="211" t="s">
        <v>368</v>
      </c>
      <c r="AQ11" s="211" t="s">
        <v>368</v>
      </c>
      <c r="AR11" s="211">
        <v>4</v>
      </c>
      <c r="AS11" s="211">
        <v>2</v>
      </c>
      <c r="AT11" s="211">
        <v>2</v>
      </c>
      <c r="AU11" s="211">
        <v>3</v>
      </c>
      <c r="AV11" s="211">
        <v>2</v>
      </c>
      <c r="AW11" s="211">
        <v>2</v>
      </c>
      <c r="AX11" s="211">
        <v>3</v>
      </c>
      <c r="AY11" s="211" t="s">
        <v>369</v>
      </c>
      <c r="AZ11" s="211"/>
      <c r="BA11" s="211"/>
      <c r="BB11" s="211">
        <v>3</v>
      </c>
      <c r="BC11" s="211">
        <v>3</v>
      </c>
      <c r="BD11" s="211">
        <v>3</v>
      </c>
      <c r="BE11" s="211"/>
      <c r="BF11" s="211"/>
      <c r="BG11" s="211"/>
      <c r="BH11" s="218">
        <v>0</v>
      </c>
    </row>
    <row r="12" spans="1:60" s="339" customFormat="1" x14ac:dyDescent="0.2">
      <c r="A12" s="336">
        <v>6</v>
      </c>
      <c r="B12" s="200" t="s">
        <v>196</v>
      </c>
      <c r="C12" s="201">
        <v>5</v>
      </c>
      <c r="D12" s="214">
        <v>3</v>
      </c>
      <c r="E12" s="214">
        <v>4</v>
      </c>
      <c r="F12" s="214">
        <v>3</v>
      </c>
      <c r="G12" s="214">
        <v>2</v>
      </c>
      <c r="H12" s="214">
        <v>1</v>
      </c>
      <c r="I12" s="214">
        <v>2</v>
      </c>
      <c r="J12" s="214">
        <v>1</v>
      </c>
      <c r="K12" s="214">
        <v>1</v>
      </c>
      <c r="L12" s="215">
        <v>2</v>
      </c>
      <c r="M12" s="215">
        <v>3</v>
      </c>
      <c r="N12" s="215">
        <v>3</v>
      </c>
      <c r="O12" s="216"/>
      <c r="P12" s="216"/>
      <c r="Q12" s="215"/>
      <c r="R12" s="215">
        <v>2</v>
      </c>
      <c r="S12" s="215"/>
      <c r="T12" s="215"/>
      <c r="U12" s="215"/>
      <c r="V12" s="337">
        <f t="shared" ref="V12:V13" si="2">SUM(C12:U12)</f>
        <v>32</v>
      </c>
      <c r="W12" s="217">
        <v>3</v>
      </c>
      <c r="X12" s="217">
        <v>4</v>
      </c>
      <c r="Y12" s="217">
        <v>3</v>
      </c>
      <c r="Z12" s="217">
        <v>2</v>
      </c>
      <c r="AA12" s="217">
        <v>1</v>
      </c>
      <c r="AB12" s="217">
        <v>1</v>
      </c>
      <c r="AC12" s="217">
        <v>1</v>
      </c>
      <c r="AD12" s="217">
        <v>1</v>
      </c>
      <c r="AE12" s="216">
        <v>2</v>
      </c>
      <c r="AF12" s="216">
        <v>3</v>
      </c>
      <c r="AG12" s="216">
        <v>3</v>
      </c>
      <c r="AH12" s="216"/>
      <c r="AI12" s="216"/>
      <c r="AJ12" s="216"/>
      <c r="AK12" s="216">
        <v>2</v>
      </c>
      <c r="AL12" s="216"/>
      <c r="AM12" s="216"/>
      <c r="AN12" s="216"/>
      <c r="AO12" s="338">
        <f t="shared" ref="AO12:AO13" si="3">SUM(W12:AN12)+C12</f>
        <v>31</v>
      </c>
      <c r="AP12" s="211">
        <v>4</v>
      </c>
      <c r="AQ12" s="211" t="s">
        <v>368</v>
      </c>
      <c r="AR12" s="211">
        <v>4</v>
      </c>
      <c r="AS12" s="211">
        <v>2</v>
      </c>
      <c r="AT12" s="211">
        <v>2</v>
      </c>
      <c r="AU12" s="211">
        <v>3</v>
      </c>
      <c r="AV12" s="211">
        <v>2</v>
      </c>
      <c r="AW12" s="211">
        <v>2</v>
      </c>
      <c r="AX12" s="211">
        <v>3</v>
      </c>
      <c r="AY12" s="211" t="s">
        <v>369</v>
      </c>
      <c r="AZ12" s="211" t="s">
        <v>369</v>
      </c>
      <c r="BA12" s="211"/>
      <c r="BB12" s="211"/>
      <c r="BC12" s="211"/>
      <c r="BD12" s="211">
        <v>3</v>
      </c>
      <c r="BE12" s="211"/>
      <c r="BF12" s="211"/>
      <c r="BG12" s="211"/>
      <c r="BH12" s="218">
        <v>0</v>
      </c>
    </row>
    <row r="13" spans="1:60" s="339" customFormat="1" x14ac:dyDescent="0.2">
      <c r="A13" s="336">
        <v>7</v>
      </c>
      <c r="B13" s="200" t="s">
        <v>197</v>
      </c>
      <c r="C13" s="201">
        <v>5</v>
      </c>
      <c r="D13" s="214">
        <v>3</v>
      </c>
      <c r="E13" s="214">
        <v>4</v>
      </c>
      <c r="F13" s="214">
        <v>3</v>
      </c>
      <c r="G13" s="214">
        <v>2</v>
      </c>
      <c r="H13" s="214">
        <v>1</v>
      </c>
      <c r="I13" s="214">
        <v>2</v>
      </c>
      <c r="J13" s="214">
        <v>1</v>
      </c>
      <c r="K13" s="214">
        <v>1</v>
      </c>
      <c r="L13" s="215">
        <v>2</v>
      </c>
      <c r="M13" s="215">
        <v>3</v>
      </c>
      <c r="N13" s="215">
        <v>3</v>
      </c>
      <c r="O13" s="216"/>
      <c r="P13" s="216"/>
      <c r="Q13" s="215">
        <v>2</v>
      </c>
      <c r="R13" s="215"/>
      <c r="S13" s="215"/>
      <c r="T13" s="215"/>
      <c r="U13" s="215"/>
      <c r="V13" s="337">
        <f t="shared" si="2"/>
        <v>32</v>
      </c>
      <c r="W13" s="217">
        <v>3</v>
      </c>
      <c r="X13" s="217">
        <v>4</v>
      </c>
      <c r="Y13" s="217">
        <v>3</v>
      </c>
      <c r="Z13" s="217">
        <v>2</v>
      </c>
      <c r="AA13" s="217">
        <v>1</v>
      </c>
      <c r="AB13" s="217">
        <v>1</v>
      </c>
      <c r="AC13" s="217">
        <v>1</v>
      </c>
      <c r="AD13" s="217">
        <v>1</v>
      </c>
      <c r="AE13" s="216">
        <v>2</v>
      </c>
      <c r="AF13" s="216">
        <v>3</v>
      </c>
      <c r="AG13" s="216">
        <v>3</v>
      </c>
      <c r="AH13" s="216"/>
      <c r="AI13" s="216"/>
      <c r="AJ13" s="216">
        <v>2</v>
      </c>
      <c r="AK13" s="216"/>
      <c r="AL13" s="216"/>
      <c r="AM13" s="216"/>
      <c r="AN13" s="216"/>
      <c r="AO13" s="338">
        <f t="shared" si="3"/>
        <v>31</v>
      </c>
      <c r="AP13" s="211">
        <v>4</v>
      </c>
      <c r="AQ13" s="211" t="s">
        <v>368</v>
      </c>
      <c r="AR13" s="211">
        <v>4</v>
      </c>
      <c r="AS13" s="211">
        <v>2</v>
      </c>
      <c r="AT13" s="211">
        <v>2</v>
      </c>
      <c r="AU13" s="211">
        <v>3</v>
      </c>
      <c r="AV13" s="211">
        <v>2</v>
      </c>
      <c r="AW13" s="211">
        <v>2</v>
      </c>
      <c r="AX13" s="211">
        <v>3</v>
      </c>
      <c r="AY13" s="211" t="s">
        <v>369</v>
      </c>
      <c r="AZ13" s="211" t="s">
        <v>369</v>
      </c>
      <c r="BA13" s="211"/>
      <c r="BB13" s="211"/>
      <c r="BC13" s="211">
        <v>3</v>
      </c>
      <c r="BD13" s="211"/>
      <c r="BE13" s="211"/>
      <c r="BF13" s="211"/>
      <c r="BG13" s="211"/>
      <c r="BH13" s="218">
        <v>0</v>
      </c>
    </row>
    <row r="14" spans="1:60" s="339" customFormat="1" x14ac:dyDescent="0.2">
      <c r="A14" s="336">
        <v>8</v>
      </c>
      <c r="B14" s="200" t="s">
        <v>198</v>
      </c>
      <c r="C14" s="201">
        <v>5</v>
      </c>
      <c r="D14" s="214">
        <v>3</v>
      </c>
      <c r="E14" s="214">
        <v>4</v>
      </c>
      <c r="F14" s="214">
        <v>3</v>
      </c>
      <c r="G14" s="214">
        <v>2</v>
      </c>
      <c r="H14" s="214">
        <v>1</v>
      </c>
      <c r="I14" s="214">
        <v>2</v>
      </c>
      <c r="J14" s="214">
        <v>1</v>
      </c>
      <c r="K14" s="214">
        <v>1</v>
      </c>
      <c r="L14" s="215">
        <v>2</v>
      </c>
      <c r="M14" s="215">
        <v>3</v>
      </c>
      <c r="N14" s="215">
        <v>3</v>
      </c>
      <c r="O14" s="216"/>
      <c r="P14" s="216"/>
      <c r="Q14" s="215">
        <v>2</v>
      </c>
      <c r="R14" s="215"/>
      <c r="S14" s="215"/>
      <c r="T14" s="215"/>
      <c r="U14" s="215"/>
      <c r="V14" s="337">
        <f t="shared" si="0"/>
        <v>32</v>
      </c>
      <c r="W14" s="217">
        <v>3</v>
      </c>
      <c r="X14" s="217">
        <v>4</v>
      </c>
      <c r="Y14" s="217">
        <v>3</v>
      </c>
      <c r="Z14" s="217">
        <v>2</v>
      </c>
      <c r="AA14" s="217">
        <v>1</v>
      </c>
      <c r="AB14" s="217">
        <v>1</v>
      </c>
      <c r="AC14" s="217">
        <v>1</v>
      </c>
      <c r="AD14" s="217">
        <v>1</v>
      </c>
      <c r="AE14" s="216">
        <v>2</v>
      </c>
      <c r="AF14" s="216">
        <v>3</v>
      </c>
      <c r="AG14" s="216">
        <v>3</v>
      </c>
      <c r="AH14" s="216"/>
      <c r="AI14" s="216"/>
      <c r="AJ14" s="216">
        <v>2</v>
      </c>
      <c r="AK14" s="216"/>
      <c r="AL14" s="216"/>
      <c r="AM14" s="216"/>
      <c r="AN14" s="216"/>
      <c r="AO14" s="338">
        <f t="shared" si="1"/>
        <v>31</v>
      </c>
      <c r="AP14" s="211">
        <v>4</v>
      </c>
      <c r="AQ14" s="211" t="s">
        <v>368</v>
      </c>
      <c r="AR14" s="211">
        <v>4</v>
      </c>
      <c r="AS14" s="211">
        <v>2</v>
      </c>
      <c r="AT14" s="211">
        <v>2</v>
      </c>
      <c r="AU14" s="211">
        <v>3</v>
      </c>
      <c r="AV14" s="211">
        <v>2</v>
      </c>
      <c r="AW14" s="211">
        <v>2</v>
      </c>
      <c r="AX14" s="211">
        <v>3</v>
      </c>
      <c r="AY14" s="211" t="s">
        <v>369</v>
      </c>
      <c r="AZ14" s="211" t="s">
        <v>369</v>
      </c>
      <c r="BA14" s="211"/>
      <c r="BB14" s="211"/>
      <c r="BC14" s="211">
        <v>3</v>
      </c>
      <c r="BD14" s="211"/>
      <c r="BE14" s="211"/>
      <c r="BF14" s="211"/>
      <c r="BG14" s="211"/>
      <c r="BH14" s="218">
        <v>0</v>
      </c>
    </row>
    <row r="15" spans="1:60" s="45" customFormat="1" x14ac:dyDescent="0.2">
      <c r="A15" s="38">
        <v>9</v>
      </c>
      <c r="B15" s="39" t="s">
        <v>18</v>
      </c>
      <c r="C15" s="110">
        <v>5</v>
      </c>
      <c r="D15" s="204">
        <v>3</v>
      </c>
      <c r="E15" s="204">
        <v>4</v>
      </c>
      <c r="F15" s="204">
        <v>3</v>
      </c>
      <c r="G15" s="204">
        <v>2</v>
      </c>
      <c r="H15" s="204">
        <v>1</v>
      </c>
      <c r="I15" s="204">
        <v>2</v>
      </c>
      <c r="J15" s="204">
        <v>1</v>
      </c>
      <c r="K15" s="204">
        <v>1</v>
      </c>
      <c r="L15" s="205">
        <v>2</v>
      </c>
      <c r="M15" s="205"/>
      <c r="N15" s="205"/>
      <c r="O15" s="206">
        <v>3</v>
      </c>
      <c r="P15" s="206">
        <v>2</v>
      </c>
      <c r="Q15" s="205"/>
      <c r="R15" s="205">
        <v>2</v>
      </c>
      <c r="S15" s="205"/>
      <c r="T15" s="205"/>
      <c r="U15" s="205"/>
      <c r="V15" s="207">
        <f>SUM(C15:U15)</f>
        <v>31</v>
      </c>
      <c r="W15" s="208">
        <v>3</v>
      </c>
      <c r="X15" s="208">
        <v>4</v>
      </c>
      <c r="Y15" s="208">
        <v>3</v>
      </c>
      <c r="Z15" s="208">
        <v>2</v>
      </c>
      <c r="AA15" s="208">
        <v>1</v>
      </c>
      <c r="AB15" s="208">
        <v>3</v>
      </c>
      <c r="AC15" s="208">
        <v>1</v>
      </c>
      <c r="AD15" s="208">
        <v>1</v>
      </c>
      <c r="AE15" s="206">
        <v>2</v>
      </c>
      <c r="AF15" s="206"/>
      <c r="AG15" s="206"/>
      <c r="AH15" s="206">
        <v>3</v>
      </c>
      <c r="AI15" s="206">
        <v>2</v>
      </c>
      <c r="AJ15" s="206"/>
      <c r="AK15" s="206">
        <v>2</v>
      </c>
      <c r="AL15" s="206"/>
      <c r="AM15" s="206"/>
      <c r="AN15" s="206"/>
      <c r="AO15" s="209">
        <f>SUM(W15:AN15)+C15</f>
        <v>32</v>
      </c>
      <c r="AP15" s="210">
        <v>4</v>
      </c>
      <c r="AQ15" s="210" t="s">
        <v>368</v>
      </c>
      <c r="AR15" s="210">
        <v>4</v>
      </c>
      <c r="AS15" s="210">
        <v>2</v>
      </c>
      <c r="AT15" s="210">
        <v>2</v>
      </c>
      <c r="AU15" s="210" t="s">
        <v>369</v>
      </c>
      <c r="AV15" s="210">
        <v>2</v>
      </c>
      <c r="AW15" s="210">
        <v>2</v>
      </c>
      <c r="AX15" s="210">
        <v>3</v>
      </c>
      <c r="AY15" s="210"/>
      <c r="AZ15" s="210"/>
      <c r="BA15" s="210" t="s">
        <v>369</v>
      </c>
      <c r="BB15" s="210">
        <v>3</v>
      </c>
      <c r="BC15" s="210"/>
      <c r="BD15" s="210">
        <v>3</v>
      </c>
      <c r="BE15" s="211"/>
      <c r="BF15" s="212"/>
      <c r="BG15" s="212"/>
      <c r="BH15" s="213">
        <v>0</v>
      </c>
    </row>
    <row r="16" spans="1:60" s="45" customFormat="1" x14ac:dyDescent="0.2">
      <c r="A16" s="38">
        <v>10</v>
      </c>
      <c r="B16" s="39" t="s">
        <v>24</v>
      </c>
      <c r="C16" s="110">
        <v>5</v>
      </c>
      <c r="D16" s="204">
        <v>3</v>
      </c>
      <c r="E16" s="204">
        <v>4</v>
      </c>
      <c r="F16" s="204">
        <v>3</v>
      </c>
      <c r="G16" s="204">
        <v>2</v>
      </c>
      <c r="H16" s="204">
        <v>1</v>
      </c>
      <c r="I16" s="204">
        <v>1</v>
      </c>
      <c r="J16" s="204">
        <v>1</v>
      </c>
      <c r="K16" s="204">
        <v>1</v>
      </c>
      <c r="L16" s="205">
        <v>3</v>
      </c>
      <c r="M16" s="205"/>
      <c r="N16" s="205"/>
      <c r="O16" s="206">
        <v>3</v>
      </c>
      <c r="P16" s="206">
        <v>2</v>
      </c>
      <c r="Q16" s="205">
        <v>2</v>
      </c>
      <c r="R16" s="205"/>
      <c r="S16" s="205"/>
      <c r="T16" s="205"/>
      <c r="U16" s="205"/>
      <c r="V16" s="207">
        <f t="shared" ref="V16:V34" si="4">SUM(C16:U16)</f>
        <v>31</v>
      </c>
      <c r="W16" s="208">
        <v>3</v>
      </c>
      <c r="X16" s="208">
        <v>4</v>
      </c>
      <c r="Y16" s="208">
        <v>3</v>
      </c>
      <c r="Z16" s="208">
        <v>2</v>
      </c>
      <c r="AA16" s="208">
        <v>1</v>
      </c>
      <c r="AB16" s="208">
        <v>2</v>
      </c>
      <c r="AC16" s="208">
        <v>1</v>
      </c>
      <c r="AD16" s="208">
        <v>1</v>
      </c>
      <c r="AE16" s="206">
        <v>3</v>
      </c>
      <c r="AF16" s="206"/>
      <c r="AG16" s="206"/>
      <c r="AH16" s="206">
        <v>3</v>
      </c>
      <c r="AI16" s="206">
        <v>2</v>
      </c>
      <c r="AJ16" s="206">
        <v>2</v>
      </c>
      <c r="AK16" s="206"/>
      <c r="AL16" s="206"/>
      <c r="AM16" s="206"/>
      <c r="AN16" s="206"/>
      <c r="AO16" s="209">
        <f t="shared" ref="AO16:AO34" si="5">SUM(W16:AN16)+C16</f>
        <v>32</v>
      </c>
      <c r="AP16" s="210">
        <v>4</v>
      </c>
      <c r="AQ16" s="210" t="s">
        <v>368</v>
      </c>
      <c r="AR16" s="210">
        <v>4</v>
      </c>
      <c r="AS16" s="210">
        <v>2</v>
      </c>
      <c r="AT16" s="210">
        <v>2</v>
      </c>
      <c r="AU16" s="210">
        <v>3</v>
      </c>
      <c r="AV16" s="210">
        <v>2</v>
      </c>
      <c r="AW16" s="210">
        <v>2</v>
      </c>
      <c r="AX16" s="210" t="s">
        <v>369</v>
      </c>
      <c r="AY16" s="210"/>
      <c r="AZ16" s="210"/>
      <c r="BA16" s="210" t="s">
        <v>369</v>
      </c>
      <c r="BB16" s="210">
        <v>3</v>
      </c>
      <c r="BC16" s="210">
        <v>3</v>
      </c>
      <c r="BD16" s="210"/>
      <c r="BE16" s="211"/>
      <c r="BF16" s="212"/>
      <c r="BG16" s="212"/>
      <c r="BH16" s="213">
        <v>0</v>
      </c>
    </row>
    <row r="17" spans="1:60" s="41" customFormat="1" x14ac:dyDescent="0.2">
      <c r="A17" s="38">
        <v>11</v>
      </c>
      <c r="B17" s="39" t="s">
        <v>142</v>
      </c>
      <c r="C17" s="110">
        <v>5</v>
      </c>
      <c r="D17" s="204">
        <v>3</v>
      </c>
      <c r="E17" s="204">
        <v>4</v>
      </c>
      <c r="F17" s="204">
        <v>3</v>
      </c>
      <c r="G17" s="204">
        <v>2</v>
      </c>
      <c r="H17" s="204">
        <v>1</v>
      </c>
      <c r="I17" s="204">
        <v>1</v>
      </c>
      <c r="J17" s="204">
        <v>1</v>
      </c>
      <c r="K17" s="204">
        <v>1</v>
      </c>
      <c r="L17" s="205">
        <v>3</v>
      </c>
      <c r="M17" s="205"/>
      <c r="N17" s="205"/>
      <c r="O17" s="206">
        <v>3</v>
      </c>
      <c r="P17" s="206"/>
      <c r="Q17" s="205">
        <v>2</v>
      </c>
      <c r="R17" s="205">
        <v>2</v>
      </c>
      <c r="S17" s="205"/>
      <c r="T17" s="205"/>
      <c r="U17" s="205"/>
      <c r="V17" s="207">
        <f t="shared" si="4"/>
        <v>31</v>
      </c>
      <c r="W17" s="208">
        <v>3</v>
      </c>
      <c r="X17" s="208">
        <v>4</v>
      </c>
      <c r="Y17" s="208">
        <v>3</v>
      </c>
      <c r="Z17" s="208">
        <v>2</v>
      </c>
      <c r="AA17" s="208">
        <v>1</v>
      </c>
      <c r="AB17" s="208">
        <v>2</v>
      </c>
      <c r="AC17" s="208">
        <v>1</v>
      </c>
      <c r="AD17" s="208">
        <v>1</v>
      </c>
      <c r="AE17" s="206">
        <v>3</v>
      </c>
      <c r="AF17" s="206"/>
      <c r="AG17" s="206"/>
      <c r="AH17" s="206">
        <v>3</v>
      </c>
      <c r="AI17" s="206"/>
      <c r="AJ17" s="206">
        <v>2</v>
      </c>
      <c r="AK17" s="206">
        <v>2</v>
      </c>
      <c r="AL17" s="206"/>
      <c r="AM17" s="206"/>
      <c r="AN17" s="206"/>
      <c r="AO17" s="209">
        <f t="shared" si="5"/>
        <v>32</v>
      </c>
      <c r="AP17" s="210">
        <v>4</v>
      </c>
      <c r="AQ17" s="210" t="s">
        <v>368</v>
      </c>
      <c r="AR17" s="210">
        <v>4</v>
      </c>
      <c r="AS17" s="210">
        <v>2</v>
      </c>
      <c r="AT17" s="210">
        <v>2</v>
      </c>
      <c r="AU17" s="210">
        <v>3</v>
      </c>
      <c r="AV17" s="210">
        <v>2</v>
      </c>
      <c r="AW17" s="210">
        <v>2</v>
      </c>
      <c r="AX17" s="210" t="s">
        <v>369</v>
      </c>
      <c r="AY17" s="210"/>
      <c r="AZ17" s="210"/>
      <c r="BA17" s="210" t="s">
        <v>369</v>
      </c>
      <c r="BB17" s="210"/>
      <c r="BC17" s="210">
        <v>3</v>
      </c>
      <c r="BD17" s="210">
        <v>3</v>
      </c>
      <c r="BE17" s="211"/>
      <c r="BF17" s="212"/>
      <c r="BG17" s="212"/>
      <c r="BH17" s="213">
        <v>0</v>
      </c>
    </row>
    <row r="18" spans="1:60" s="41" customFormat="1" x14ac:dyDescent="0.2">
      <c r="A18" s="38">
        <v>12</v>
      </c>
      <c r="B18" s="39" t="s">
        <v>124</v>
      </c>
      <c r="C18" s="110">
        <v>5</v>
      </c>
      <c r="D18" s="204">
        <v>3</v>
      </c>
      <c r="E18" s="204">
        <v>4</v>
      </c>
      <c r="F18" s="204">
        <v>3</v>
      </c>
      <c r="G18" s="204">
        <v>2</v>
      </c>
      <c r="H18" s="204">
        <v>1</v>
      </c>
      <c r="I18" s="204">
        <v>1</v>
      </c>
      <c r="J18" s="204">
        <v>1</v>
      </c>
      <c r="K18" s="204">
        <v>1</v>
      </c>
      <c r="L18" s="205">
        <v>3</v>
      </c>
      <c r="M18" s="205"/>
      <c r="N18" s="205"/>
      <c r="O18" s="206">
        <v>3</v>
      </c>
      <c r="P18" s="206"/>
      <c r="Q18" s="205">
        <v>2</v>
      </c>
      <c r="R18" s="205">
        <v>2</v>
      </c>
      <c r="S18" s="205"/>
      <c r="T18" s="205"/>
      <c r="U18" s="205"/>
      <c r="V18" s="207">
        <f t="shared" si="4"/>
        <v>31</v>
      </c>
      <c r="W18" s="208">
        <v>3</v>
      </c>
      <c r="X18" s="208">
        <v>4</v>
      </c>
      <c r="Y18" s="208">
        <v>3</v>
      </c>
      <c r="Z18" s="208">
        <v>2</v>
      </c>
      <c r="AA18" s="208">
        <v>1</v>
      </c>
      <c r="AB18" s="208">
        <v>2</v>
      </c>
      <c r="AC18" s="208">
        <v>1</v>
      </c>
      <c r="AD18" s="208">
        <v>1</v>
      </c>
      <c r="AE18" s="206">
        <v>3</v>
      </c>
      <c r="AF18" s="206"/>
      <c r="AG18" s="206"/>
      <c r="AH18" s="206">
        <v>3</v>
      </c>
      <c r="AI18" s="206"/>
      <c r="AJ18" s="206">
        <v>2</v>
      </c>
      <c r="AK18" s="206">
        <v>2</v>
      </c>
      <c r="AL18" s="206"/>
      <c r="AM18" s="206"/>
      <c r="AN18" s="206"/>
      <c r="AO18" s="209">
        <f t="shared" si="5"/>
        <v>32</v>
      </c>
      <c r="AP18" s="210">
        <v>4</v>
      </c>
      <c r="AQ18" s="210" t="s">
        <v>368</v>
      </c>
      <c r="AR18" s="210">
        <v>4</v>
      </c>
      <c r="AS18" s="210">
        <v>2</v>
      </c>
      <c r="AT18" s="210">
        <v>2</v>
      </c>
      <c r="AU18" s="210">
        <v>3</v>
      </c>
      <c r="AV18" s="210">
        <v>2</v>
      </c>
      <c r="AW18" s="210">
        <v>2</v>
      </c>
      <c r="AX18" s="210" t="s">
        <v>369</v>
      </c>
      <c r="AY18" s="210"/>
      <c r="AZ18" s="210"/>
      <c r="BA18" s="210" t="s">
        <v>369</v>
      </c>
      <c r="BB18" s="210"/>
      <c r="BC18" s="210">
        <v>3</v>
      </c>
      <c r="BD18" s="210">
        <v>3</v>
      </c>
      <c r="BE18" s="211"/>
      <c r="BF18" s="212"/>
      <c r="BG18" s="212"/>
      <c r="BH18" s="213">
        <v>0</v>
      </c>
    </row>
    <row r="19" spans="1:60" s="41" customFormat="1" x14ac:dyDescent="0.2">
      <c r="A19" s="38">
        <v>13</v>
      </c>
      <c r="B19" s="39" t="s">
        <v>138</v>
      </c>
      <c r="C19" s="110">
        <v>5</v>
      </c>
      <c r="D19" s="204">
        <v>4</v>
      </c>
      <c r="E19" s="204">
        <v>4</v>
      </c>
      <c r="F19" s="204">
        <v>3</v>
      </c>
      <c r="G19" s="204">
        <v>2</v>
      </c>
      <c r="H19" s="204">
        <v>1</v>
      </c>
      <c r="I19" s="204">
        <v>1</v>
      </c>
      <c r="J19" s="204">
        <v>1</v>
      </c>
      <c r="K19" s="204">
        <v>1</v>
      </c>
      <c r="L19" s="205"/>
      <c r="M19" s="205">
        <v>3</v>
      </c>
      <c r="N19" s="205"/>
      <c r="O19" s="206"/>
      <c r="P19" s="206">
        <v>2</v>
      </c>
      <c r="Q19" s="205">
        <v>2</v>
      </c>
      <c r="R19" s="205">
        <v>2</v>
      </c>
      <c r="S19" s="205"/>
      <c r="T19" s="205"/>
      <c r="U19" s="205"/>
      <c r="V19" s="207">
        <f t="shared" si="4"/>
        <v>31</v>
      </c>
      <c r="W19" s="208">
        <v>4</v>
      </c>
      <c r="X19" s="208">
        <v>4</v>
      </c>
      <c r="Y19" s="208">
        <v>3</v>
      </c>
      <c r="Z19" s="208">
        <v>2</v>
      </c>
      <c r="AA19" s="208">
        <v>1</v>
      </c>
      <c r="AB19" s="208">
        <v>2</v>
      </c>
      <c r="AC19" s="208">
        <v>1</v>
      </c>
      <c r="AD19" s="208">
        <v>1</v>
      </c>
      <c r="AE19" s="206"/>
      <c r="AF19" s="206">
        <v>3</v>
      </c>
      <c r="AG19" s="206"/>
      <c r="AH19" s="206"/>
      <c r="AI19" s="206">
        <v>2</v>
      </c>
      <c r="AJ19" s="206">
        <v>2</v>
      </c>
      <c r="AK19" s="206">
        <v>2</v>
      </c>
      <c r="AL19" s="206"/>
      <c r="AM19" s="206"/>
      <c r="AN19" s="206"/>
      <c r="AO19" s="209">
        <f t="shared" si="5"/>
        <v>32</v>
      </c>
      <c r="AP19" s="210" t="s">
        <v>368</v>
      </c>
      <c r="AQ19" s="210" t="s">
        <v>368</v>
      </c>
      <c r="AR19" s="210">
        <v>4</v>
      </c>
      <c r="AS19" s="210">
        <v>2</v>
      </c>
      <c r="AT19" s="210">
        <v>2</v>
      </c>
      <c r="AU19" s="210">
        <v>3</v>
      </c>
      <c r="AV19" s="210">
        <v>2</v>
      </c>
      <c r="AW19" s="210">
        <v>2</v>
      </c>
      <c r="AX19" s="210">
        <v>3</v>
      </c>
      <c r="AY19" s="210" t="s">
        <v>369</v>
      </c>
      <c r="AZ19" s="210"/>
      <c r="BA19" s="210"/>
      <c r="BB19" s="210">
        <v>3</v>
      </c>
      <c r="BC19" s="210">
        <v>3</v>
      </c>
      <c r="BD19" s="210">
        <v>3</v>
      </c>
      <c r="BE19" s="211"/>
      <c r="BF19" s="212"/>
      <c r="BG19" s="212"/>
      <c r="BH19" s="213">
        <v>0</v>
      </c>
    </row>
    <row r="20" spans="1:60" s="41" customFormat="1" x14ac:dyDescent="0.2">
      <c r="A20" s="38">
        <v>14</v>
      </c>
      <c r="B20" s="39" t="s">
        <v>201</v>
      </c>
      <c r="C20" s="110">
        <v>5</v>
      </c>
      <c r="D20" s="204">
        <v>4</v>
      </c>
      <c r="E20" s="204">
        <v>4</v>
      </c>
      <c r="F20" s="204">
        <v>3</v>
      </c>
      <c r="G20" s="204">
        <v>2</v>
      </c>
      <c r="H20" s="204">
        <v>1</v>
      </c>
      <c r="I20" s="204">
        <v>1</v>
      </c>
      <c r="J20" s="204">
        <v>1</v>
      </c>
      <c r="K20" s="204">
        <v>1</v>
      </c>
      <c r="L20" s="205"/>
      <c r="M20" s="205">
        <v>3</v>
      </c>
      <c r="N20" s="205"/>
      <c r="O20" s="206"/>
      <c r="P20" s="206">
        <v>2</v>
      </c>
      <c r="Q20" s="205">
        <v>2</v>
      </c>
      <c r="R20" s="205">
        <v>2</v>
      </c>
      <c r="S20" s="205"/>
      <c r="T20" s="205"/>
      <c r="U20" s="205"/>
      <c r="V20" s="207">
        <f t="shared" si="4"/>
        <v>31</v>
      </c>
      <c r="W20" s="208">
        <v>4</v>
      </c>
      <c r="X20" s="208">
        <v>4</v>
      </c>
      <c r="Y20" s="208">
        <v>3</v>
      </c>
      <c r="Z20" s="208">
        <v>2</v>
      </c>
      <c r="AA20" s="208">
        <v>1</v>
      </c>
      <c r="AB20" s="208">
        <v>2</v>
      </c>
      <c r="AC20" s="208">
        <v>1</v>
      </c>
      <c r="AD20" s="208">
        <v>1</v>
      </c>
      <c r="AE20" s="206"/>
      <c r="AF20" s="206">
        <v>3</v>
      </c>
      <c r="AG20" s="206"/>
      <c r="AH20" s="206"/>
      <c r="AI20" s="206">
        <v>2</v>
      </c>
      <c r="AJ20" s="206">
        <v>2</v>
      </c>
      <c r="AK20" s="206">
        <v>2</v>
      </c>
      <c r="AL20" s="206"/>
      <c r="AM20" s="206"/>
      <c r="AN20" s="206"/>
      <c r="AO20" s="209">
        <f t="shared" si="5"/>
        <v>32</v>
      </c>
      <c r="AP20" s="210" t="s">
        <v>368</v>
      </c>
      <c r="AQ20" s="210" t="s">
        <v>368</v>
      </c>
      <c r="AR20" s="210">
        <v>4</v>
      </c>
      <c r="AS20" s="210">
        <v>2</v>
      </c>
      <c r="AT20" s="210">
        <v>2</v>
      </c>
      <c r="AU20" s="210">
        <v>3</v>
      </c>
      <c r="AV20" s="210">
        <v>2</v>
      </c>
      <c r="AW20" s="210">
        <v>2</v>
      </c>
      <c r="AX20" s="210">
        <v>3</v>
      </c>
      <c r="AY20" s="210" t="s">
        <v>369</v>
      </c>
      <c r="AZ20" s="210"/>
      <c r="BA20" s="210"/>
      <c r="BB20" s="210">
        <v>3</v>
      </c>
      <c r="BC20" s="210">
        <v>3</v>
      </c>
      <c r="BD20" s="210">
        <v>3</v>
      </c>
      <c r="BE20" s="211"/>
      <c r="BF20" s="212"/>
      <c r="BG20" s="212"/>
      <c r="BH20" s="213">
        <v>0</v>
      </c>
    </row>
    <row r="21" spans="1:60" s="41" customFormat="1" x14ac:dyDescent="0.2">
      <c r="A21" s="38">
        <v>15</v>
      </c>
      <c r="B21" s="39" t="s">
        <v>202</v>
      </c>
      <c r="C21" s="110">
        <v>5</v>
      </c>
      <c r="D21" s="204">
        <v>3</v>
      </c>
      <c r="E21" s="204">
        <v>4</v>
      </c>
      <c r="F21" s="204">
        <v>3</v>
      </c>
      <c r="G21" s="204">
        <v>2</v>
      </c>
      <c r="H21" s="204">
        <v>1</v>
      </c>
      <c r="I21" s="204">
        <v>1</v>
      </c>
      <c r="J21" s="204">
        <v>1</v>
      </c>
      <c r="K21" s="204">
        <v>1</v>
      </c>
      <c r="L21" s="205">
        <v>2</v>
      </c>
      <c r="M21" s="205">
        <v>3</v>
      </c>
      <c r="N21" s="205">
        <v>3</v>
      </c>
      <c r="O21" s="206"/>
      <c r="P21" s="206"/>
      <c r="Q21" s="205"/>
      <c r="R21" s="205">
        <v>2</v>
      </c>
      <c r="S21" s="205"/>
      <c r="T21" s="205"/>
      <c r="U21" s="205"/>
      <c r="V21" s="207">
        <f t="shared" si="4"/>
        <v>31</v>
      </c>
      <c r="W21" s="208">
        <v>3</v>
      </c>
      <c r="X21" s="208">
        <v>4</v>
      </c>
      <c r="Y21" s="208">
        <v>3</v>
      </c>
      <c r="Z21" s="208">
        <v>2</v>
      </c>
      <c r="AA21" s="208">
        <v>1</v>
      </c>
      <c r="AB21" s="208">
        <v>2</v>
      </c>
      <c r="AC21" s="208">
        <v>1</v>
      </c>
      <c r="AD21" s="208">
        <v>1</v>
      </c>
      <c r="AE21" s="206">
        <v>2</v>
      </c>
      <c r="AF21" s="206">
        <v>3</v>
      </c>
      <c r="AG21" s="206">
        <v>3</v>
      </c>
      <c r="AH21" s="206"/>
      <c r="AI21" s="206"/>
      <c r="AJ21" s="206"/>
      <c r="AK21" s="206">
        <v>2</v>
      </c>
      <c r="AL21" s="206"/>
      <c r="AM21" s="206"/>
      <c r="AN21" s="206"/>
      <c r="AO21" s="209">
        <f t="shared" si="5"/>
        <v>32</v>
      </c>
      <c r="AP21" s="210">
        <v>4</v>
      </c>
      <c r="AQ21" s="210" t="s">
        <v>368</v>
      </c>
      <c r="AR21" s="210">
        <v>4</v>
      </c>
      <c r="AS21" s="210">
        <v>2</v>
      </c>
      <c r="AT21" s="210">
        <v>2</v>
      </c>
      <c r="AU21" s="210">
        <v>3</v>
      </c>
      <c r="AV21" s="210">
        <v>2</v>
      </c>
      <c r="AW21" s="210">
        <v>2</v>
      </c>
      <c r="AX21" s="210">
        <v>3</v>
      </c>
      <c r="AY21" s="210" t="s">
        <v>369</v>
      </c>
      <c r="AZ21" s="210" t="s">
        <v>369</v>
      </c>
      <c r="BA21" s="210"/>
      <c r="BB21" s="210"/>
      <c r="BC21" s="210"/>
      <c r="BD21" s="210">
        <v>3</v>
      </c>
      <c r="BE21" s="211"/>
      <c r="BF21" s="212"/>
      <c r="BG21" s="212"/>
      <c r="BH21" s="213">
        <v>0</v>
      </c>
    </row>
    <row r="22" spans="1:60" s="41" customFormat="1" x14ac:dyDescent="0.2">
      <c r="A22" s="38">
        <v>16</v>
      </c>
      <c r="B22" s="39" t="s">
        <v>203</v>
      </c>
      <c r="C22" s="110">
        <v>5</v>
      </c>
      <c r="D22" s="204">
        <v>3</v>
      </c>
      <c r="E22" s="204">
        <v>4</v>
      </c>
      <c r="F22" s="204">
        <v>3</v>
      </c>
      <c r="G22" s="204">
        <v>2</v>
      </c>
      <c r="H22" s="204">
        <v>1</v>
      </c>
      <c r="I22" s="204">
        <v>1</v>
      </c>
      <c r="J22" s="204">
        <v>1</v>
      </c>
      <c r="K22" s="204">
        <v>1</v>
      </c>
      <c r="L22" s="205">
        <v>2</v>
      </c>
      <c r="M22" s="205">
        <v>3</v>
      </c>
      <c r="N22" s="205">
        <v>3</v>
      </c>
      <c r="O22" s="206"/>
      <c r="P22" s="206"/>
      <c r="Q22" s="205">
        <v>2</v>
      </c>
      <c r="R22" s="205"/>
      <c r="S22" s="205"/>
      <c r="T22" s="205"/>
      <c r="U22" s="205"/>
      <c r="V22" s="207">
        <f t="shared" si="4"/>
        <v>31</v>
      </c>
      <c r="W22" s="208">
        <v>3</v>
      </c>
      <c r="X22" s="208">
        <v>4</v>
      </c>
      <c r="Y22" s="208">
        <v>3</v>
      </c>
      <c r="Z22" s="208">
        <v>2</v>
      </c>
      <c r="AA22" s="208">
        <v>1</v>
      </c>
      <c r="AB22" s="208">
        <v>2</v>
      </c>
      <c r="AC22" s="208">
        <v>1</v>
      </c>
      <c r="AD22" s="208">
        <v>1</v>
      </c>
      <c r="AE22" s="206">
        <v>2</v>
      </c>
      <c r="AF22" s="206">
        <v>3</v>
      </c>
      <c r="AG22" s="206">
        <v>3</v>
      </c>
      <c r="AH22" s="206"/>
      <c r="AI22" s="206"/>
      <c r="AJ22" s="206">
        <v>2</v>
      </c>
      <c r="AK22" s="206"/>
      <c r="AL22" s="206"/>
      <c r="AM22" s="206"/>
      <c r="AN22" s="206"/>
      <c r="AO22" s="209">
        <f t="shared" si="5"/>
        <v>32</v>
      </c>
      <c r="AP22" s="210">
        <v>4</v>
      </c>
      <c r="AQ22" s="210" t="s">
        <v>368</v>
      </c>
      <c r="AR22" s="210">
        <v>4</v>
      </c>
      <c r="AS22" s="210">
        <v>2</v>
      </c>
      <c r="AT22" s="210">
        <v>2</v>
      </c>
      <c r="AU22" s="210">
        <v>3</v>
      </c>
      <c r="AV22" s="210">
        <v>2</v>
      </c>
      <c r="AW22" s="210">
        <v>2</v>
      </c>
      <c r="AX22" s="210">
        <v>3</v>
      </c>
      <c r="AY22" s="210" t="s">
        <v>369</v>
      </c>
      <c r="AZ22" s="210" t="s">
        <v>369</v>
      </c>
      <c r="BA22" s="210"/>
      <c r="BB22" s="210"/>
      <c r="BC22" s="210">
        <v>3</v>
      </c>
      <c r="BD22" s="210"/>
      <c r="BE22" s="211"/>
      <c r="BF22" s="212"/>
      <c r="BG22" s="212"/>
      <c r="BH22" s="213">
        <v>0</v>
      </c>
    </row>
    <row r="23" spans="1:60" s="41" customFormat="1" x14ac:dyDescent="0.2">
      <c r="A23" s="38">
        <v>17</v>
      </c>
      <c r="B23" s="39" t="s">
        <v>204</v>
      </c>
      <c r="C23" s="110">
        <v>5</v>
      </c>
      <c r="D23" s="204">
        <v>3</v>
      </c>
      <c r="E23" s="204">
        <v>4</v>
      </c>
      <c r="F23" s="204">
        <v>3</v>
      </c>
      <c r="G23" s="204">
        <v>2</v>
      </c>
      <c r="H23" s="204">
        <v>1</v>
      </c>
      <c r="I23" s="204">
        <v>1</v>
      </c>
      <c r="J23" s="204">
        <v>1</v>
      </c>
      <c r="K23" s="204">
        <v>1</v>
      </c>
      <c r="L23" s="205">
        <v>2</v>
      </c>
      <c r="M23" s="205">
        <v>3</v>
      </c>
      <c r="N23" s="205">
        <v>3</v>
      </c>
      <c r="O23" s="206"/>
      <c r="P23" s="206"/>
      <c r="Q23" s="205">
        <v>2</v>
      </c>
      <c r="R23" s="205"/>
      <c r="S23" s="205"/>
      <c r="T23" s="205"/>
      <c r="U23" s="205"/>
      <c r="V23" s="207">
        <f t="shared" si="4"/>
        <v>31</v>
      </c>
      <c r="W23" s="208">
        <v>3</v>
      </c>
      <c r="X23" s="208">
        <v>4</v>
      </c>
      <c r="Y23" s="208">
        <v>3</v>
      </c>
      <c r="Z23" s="208">
        <v>2</v>
      </c>
      <c r="AA23" s="208">
        <v>1</v>
      </c>
      <c r="AB23" s="208">
        <v>2</v>
      </c>
      <c r="AC23" s="208">
        <v>1</v>
      </c>
      <c r="AD23" s="208">
        <v>1</v>
      </c>
      <c r="AE23" s="206">
        <v>2</v>
      </c>
      <c r="AF23" s="206">
        <v>3</v>
      </c>
      <c r="AG23" s="206">
        <v>3</v>
      </c>
      <c r="AH23" s="206"/>
      <c r="AI23" s="206"/>
      <c r="AJ23" s="206">
        <v>2</v>
      </c>
      <c r="AK23" s="206"/>
      <c r="AL23" s="206"/>
      <c r="AM23" s="206"/>
      <c r="AN23" s="206"/>
      <c r="AO23" s="209">
        <f t="shared" si="5"/>
        <v>32</v>
      </c>
      <c r="AP23" s="210">
        <v>4</v>
      </c>
      <c r="AQ23" s="210" t="s">
        <v>368</v>
      </c>
      <c r="AR23" s="210">
        <v>4</v>
      </c>
      <c r="AS23" s="210">
        <v>2</v>
      </c>
      <c r="AT23" s="210">
        <v>2</v>
      </c>
      <c r="AU23" s="210">
        <v>3</v>
      </c>
      <c r="AV23" s="210">
        <v>2</v>
      </c>
      <c r="AW23" s="210">
        <v>2</v>
      </c>
      <c r="AX23" s="210">
        <v>3</v>
      </c>
      <c r="AY23" s="210" t="s">
        <v>369</v>
      </c>
      <c r="AZ23" s="210" t="s">
        <v>369</v>
      </c>
      <c r="BA23" s="210"/>
      <c r="BB23" s="210"/>
      <c r="BC23" s="210">
        <v>3</v>
      </c>
      <c r="BD23" s="210"/>
      <c r="BE23" s="211"/>
      <c r="BF23" s="212"/>
      <c r="BG23" s="212"/>
      <c r="BH23" s="213">
        <v>0</v>
      </c>
    </row>
    <row r="24" spans="1:60" s="41" customFormat="1" x14ac:dyDescent="0.2">
      <c r="A24" s="38">
        <v>18</v>
      </c>
      <c r="B24" s="39" t="s">
        <v>304</v>
      </c>
      <c r="C24" s="110">
        <v>5</v>
      </c>
      <c r="D24" s="204">
        <v>3</v>
      </c>
      <c r="E24" s="204">
        <v>4</v>
      </c>
      <c r="F24" s="204">
        <v>3</v>
      </c>
      <c r="G24" s="204">
        <v>2</v>
      </c>
      <c r="H24" s="204">
        <v>1</v>
      </c>
      <c r="I24" s="204">
        <v>1</v>
      </c>
      <c r="J24" s="204">
        <v>1</v>
      </c>
      <c r="K24" s="204">
        <v>1</v>
      </c>
      <c r="L24" s="205">
        <v>2</v>
      </c>
      <c r="M24" s="205">
        <v>3</v>
      </c>
      <c r="N24" s="205">
        <v>3</v>
      </c>
      <c r="O24" s="206"/>
      <c r="P24" s="206"/>
      <c r="Q24" s="205">
        <v>2</v>
      </c>
      <c r="R24" s="205"/>
      <c r="S24" s="205"/>
      <c r="T24" s="205"/>
      <c r="U24" s="205"/>
      <c r="V24" s="207">
        <f t="shared" si="4"/>
        <v>31</v>
      </c>
      <c r="W24" s="208">
        <v>3</v>
      </c>
      <c r="X24" s="208">
        <v>4</v>
      </c>
      <c r="Y24" s="208">
        <v>3</v>
      </c>
      <c r="Z24" s="208">
        <v>2</v>
      </c>
      <c r="AA24" s="208">
        <v>1</v>
      </c>
      <c r="AB24" s="208">
        <v>2</v>
      </c>
      <c r="AC24" s="208">
        <v>1</v>
      </c>
      <c r="AD24" s="208">
        <v>1</v>
      </c>
      <c r="AE24" s="206">
        <v>2</v>
      </c>
      <c r="AF24" s="206">
        <v>3</v>
      </c>
      <c r="AG24" s="206">
        <v>3</v>
      </c>
      <c r="AH24" s="206"/>
      <c r="AI24" s="206"/>
      <c r="AJ24" s="206">
        <v>2</v>
      </c>
      <c r="AK24" s="206"/>
      <c r="AL24" s="206"/>
      <c r="AM24" s="206"/>
      <c r="AN24" s="206"/>
      <c r="AO24" s="209">
        <f t="shared" si="5"/>
        <v>32</v>
      </c>
      <c r="AP24" s="210">
        <v>4</v>
      </c>
      <c r="AQ24" s="210" t="s">
        <v>368</v>
      </c>
      <c r="AR24" s="210">
        <v>4</v>
      </c>
      <c r="AS24" s="210">
        <v>2</v>
      </c>
      <c r="AT24" s="210">
        <v>2</v>
      </c>
      <c r="AU24" s="210">
        <v>3</v>
      </c>
      <c r="AV24" s="210">
        <v>2</v>
      </c>
      <c r="AW24" s="210">
        <v>2</v>
      </c>
      <c r="AX24" s="210">
        <v>3</v>
      </c>
      <c r="AY24" s="210" t="s">
        <v>369</v>
      </c>
      <c r="AZ24" s="210" t="s">
        <v>369</v>
      </c>
      <c r="BA24" s="210"/>
      <c r="BB24" s="210"/>
      <c r="BC24" s="210">
        <v>3</v>
      </c>
      <c r="BD24" s="210"/>
      <c r="BE24" s="211"/>
      <c r="BF24" s="212"/>
      <c r="BG24" s="212"/>
      <c r="BH24" s="213">
        <v>0</v>
      </c>
    </row>
    <row r="25" spans="1:60" s="41" customFormat="1" x14ac:dyDescent="0.2">
      <c r="A25" s="38">
        <v>19</v>
      </c>
      <c r="B25" s="200" t="s">
        <v>27</v>
      </c>
      <c r="C25" s="201">
        <v>5</v>
      </c>
      <c r="D25" s="214">
        <v>3</v>
      </c>
      <c r="E25" s="214">
        <v>4</v>
      </c>
      <c r="F25" s="214">
        <v>3</v>
      </c>
      <c r="G25" s="214">
        <v>2</v>
      </c>
      <c r="H25" s="214">
        <v>1</v>
      </c>
      <c r="I25" s="214">
        <v>2</v>
      </c>
      <c r="J25" s="214">
        <v>1</v>
      </c>
      <c r="K25" s="214">
        <v>1</v>
      </c>
      <c r="L25" s="215">
        <v>2</v>
      </c>
      <c r="M25" s="215">
        <v>3</v>
      </c>
      <c r="N25" s="215">
        <v>3</v>
      </c>
      <c r="O25" s="216"/>
      <c r="P25" s="216"/>
      <c r="Q25" s="215">
        <v>2</v>
      </c>
      <c r="R25" s="215"/>
      <c r="S25" s="215"/>
      <c r="T25" s="215"/>
      <c r="U25" s="215"/>
      <c r="V25" s="207">
        <f t="shared" si="4"/>
        <v>32</v>
      </c>
      <c r="W25" s="217">
        <v>3</v>
      </c>
      <c r="X25" s="217">
        <v>4</v>
      </c>
      <c r="Y25" s="217">
        <v>3</v>
      </c>
      <c r="Z25" s="217">
        <v>2</v>
      </c>
      <c r="AA25" s="217">
        <v>1</v>
      </c>
      <c r="AB25" s="217">
        <v>1</v>
      </c>
      <c r="AC25" s="217">
        <v>1</v>
      </c>
      <c r="AD25" s="217">
        <v>1</v>
      </c>
      <c r="AE25" s="216">
        <v>2</v>
      </c>
      <c r="AF25" s="216">
        <v>3</v>
      </c>
      <c r="AG25" s="216">
        <v>3</v>
      </c>
      <c r="AH25" s="216"/>
      <c r="AI25" s="216"/>
      <c r="AJ25" s="216">
        <v>2</v>
      </c>
      <c r="AK25" s="216"/>
      <c r="AL25" s="216"/>
      <c r="AM25" s="216"/>
      <c r="AN25" s="216"/>
      <c r="AO25" s="209">
        <f t="shared" si="5"/>
        <v>31</v>
      </c>
      <c r="AP25" s="211">
        <v>4</v>
      </c>
      <c r="AQ25" s="211" t="s">
        <v>368</v>
      </c>
      <c r="AR25" s="211">
        <v>4</v>
      </c>
      <c r="AS25" s="211">
        <v>2</v>
      </c>
      <c r="AT25" s="211">
        <v>2</v>
      </c>
      <c r="AU25" s="211">
        <v>3</v>
      </c>
      <c r="AV25" s="211">
        <v>2</v>
      </c>
      <c r="AW25" s="211">
        <v>2</v>
      </c>
      <c r="AX25" s="211">
        <v>3</v>
      </c>
      <c r="AY25" s="211" t="s">
        <v>369</v>
      </c>
      <c r="AZ25" s="211" t="s">
        <v>369</v>
      </c>
      <c r="BA25" s="211"/>
      <c r="BB25" s="211"/>
      <c r="BC25" s="211">
        <v>3</v>
      </c>
      <c r="BD25" s="211"/>
      <c r="BE25" s="211"/>
      <c r="BF25" s="211"/>
      <c r="BG25" s="211"/>
      <c r="BH25" s="218">
        <v>0</v>
      </c>
    </row>
    <row r="26" spans="1:60" s="41" customFormat="1" x14ac:dyDescent="0.2">
      <c r="A26" s="38">
        <v>20</v>
      </c>
      <c r="B26" s="200" t="s">
        <v>30</v>
      </c>
      <c r="C26" s="201">
        <v>5</v>
      </c>
      <c r="D26" s="214">
        <v>3</v>
      </c>
      <c r="E26" s="214">
        <v>4</v>
      </c>
      <c r="F26" s="214">
        <v>3</v>
      </c>
      <c r="G26" s="214">
        <v>2</v>
      </c>
      <c r="H26" s="214">
        <v>1</v>
      </c>
      <c r="I26" s="214">
        <v>2</v>
      </c>
      <c r="J26" s="214">
        <v>1</v>
      </c>
      <c r="K26" s="214">
        <v>1</v>
      </c>
      <c r="L26" s="215">
        <v>2</v>
      </c>
      <c r="M26" s="215">
        <v>3</v>
      </c>
      <c r="N26" s="215">
        <v>3</v>
      </c>
      <c r="O26" s="216"/>
      <c r="P26" s="216"/>
      <c r="Q26" s="215">
        <v>2</v>
      </c>
      <c r="R26" s="215"/>
      <c r="S26" s="215"/>
      <c r="T26" s="215"/>
      <c r="U26" s="215"/>
      <c r="V26" s="207">
        <f t="shared" si="4"/>
        <v>32</v>
      </c>
      <c r="W26" s="217">
        <v>3</v>
      </c>
      <c r="X26" s="217">
        <v>4</v>
      </c>
      <c r="Y26" s="217">
        <v>3</v>
      </c>
      <c r="Z26" s="217">
        <v>2</v>
      </c>
      <c r="AA26" s="217">
        <v>1</v>
      </c>
      <c r="AB26" s="217">
        <v>1</v>
      </c>
      <c r="AC26" s="217">
        <v>1</v>
      </c>
      <c r="AD26" s="217">
        <v>1</v>
      </c>
      <c r="AE26" s="216">
        <v>2</v>
      </c>
      <c r="AF26" s="216">
        <v>3</v>
      </c>
      <c r="AG26" s="216">
        <v>3</v>
      </c>
      <c r="AH26" s="216"/>
      <c r="AI26" s="216"/>
      <c r="AJ26" s="216">
        <v>2</v>
      </c>
      <c r="AK26" s="216"/>
      <c r="AL26" s="216"/>
      <c r="AM26" s="216"/>
      <c r="AN26" s="216"/>
      <c r="AO26" s="209">
        <f t="shared" si="5"/>
        <v>31</v>
      </c>
      <c r="AP26" s="211">
        <v>4</v>
      </c>
      <c r="AQ26" s="211" t="s">
        <v>368</v>
      </c>
      <c r="AR26" s="211">
        <v>4</v>
      </c>
      <c r="AS26" s="211">
        <v>2</v>
      </c>
      <c r="AT26" s="211">
        <v>2</v>
      </c>
      <c r="AU26" s="211">
        <v>3</v>
      </c>
      <c r="AV26" s="211">
        <v>2</v>
      </c>
      <c r="AW26" s="211">
        <v>2</v>
      </c>
      <c r="AX26" s="211">
        <v>3</v>
      </c>
      <c r="AY26" s="211" t="s">
        <v>369</v>
      </c>
      <c r="AZ26" s="211" t="s">
        <v>369</v>
      </c>
      <c r="BA26" s="211"/>
      <c r="BB26" s="211"/>
      <c r="BC26" s="211">
        <v>3</v>
      </c>
      <c r="BD26" s="211"/>
      <c r="BE26" s="211"/>
      <c r="BF26" s="211"/>
      <c r="BG26" s="211"/>
      <c r="BH26" s="218">
        <v>0</v>
      </c>
    </row>
    <row r="27" spans="1:60" s="41" customFormat="1" x14ac:dyDescent="0.2">
      <c r="A27" s="38">
        <v>21</v>
      </c>
      <c r="B27" s="200" t="s">
        <v>20</v>
      </c>
      <c r="C27" s="201">
        <v>5</v>
      </c>
      <c r="D27" s="214">
        <v>3</v>
      </c>
      <c r="E27" s="214">
        <v>4</v>
      </c>
      <c r="F27" s="214">
        <v>3</v>
      </c>
      <c r="G27" s="214">
        <v>2</v>
      </c>
      <c r="H27" s="214">
        <v>1</v>
      </c>
      <c r="I27" s="214">
        <v>2</v>
      </c>
      <c r="J27" s="214">
        <v>1</v>
      </c>
      <c r="K27" s="214">
        <v>1</v>
      </c>
      <c r="L27" s="215">
        <v>2</v>
      </c>
      <c r="M27" s="215">
        <v>3</v>
      </c>
      <c r="N27" s="215">
        <v>3</v>
      </c>
      <c r="O27" s="216"/>
      <c r="P27" s="216"/>
      <c r="Q27" s="215"/>
      <c r="R27" s="215">
        <v>2</v>
      </c>
      <c r="S27" s="215"/>
      <c r="T27" s="215"/>
      <c r="U27" s="215"/>
      <c r="V27" s="207">
        <f t="shared" si="4"/>
        <v>32</v>
      </c>
      <c r="W27" s="217">
        <v>3</v>
      </c>
      <c r="X27" s="217">
        <v>4</v>
      </c>
      <c r="Y27" s="217">
        <v>3</v>
      </c>
      <c r="Z27" s="217">
        <v>2</v>
      </c>
      <c r="AA27" s="217">
        <v>1</v>
      </c>
      <c r="AB27" s="217">
        <v>1</v>
      </c>
      <c r="AC27" s="217">
        <v>1</v>
      </c>
      <c r="AD27" s="217">
        <v>1</v>
      </c>
      <c r="AE27" s="216">
        <v>2</v>
      </c>
      <c r="AF27" s="216">
        <v>3</v>
      </c>
      <c r="AG27" s="216">
        <v>3</v>
      </c>
      <c r="AH27" s="216"/>
      <c r="AI27" s="216"/>
      <c r="AJ27" s="216"/>
      <c r="AK27" s="216">
        <v>2</v>
      </c>
      <c r="AL27" s="216"/>
      <c r="AM27" s="216"/>
      <c r="AN27" s="216"/>
      <c r="AO27" s="209">
        <f t="shared" si="5"/>
        <v>31</v>
      </c>
      <c r="AP27" s="211">
        <v>4</v>
      </c>
      <c r="AQ27" s="211" t="s">
        <v>368</v>
      </c>
      <c r="AR27" s="211">
        <v>4</v>
      </c>
      <c r="AS27" s="211">
        <v>2</v>
      </c>
      <c r="AT27" s="211">
        <v>2</v>
      </c>
      <c r="AU27" s="211">
        <v>3</v>
      </c>
      <c r="AV27" s="211">
        <v>2</v>
      </c>
      <c r="AW27" s="211">
        <v>2</v>
      </c>
      <c r="AX27" s="211">
        <v>3</v>
      </c>
      <c r="AY27" s="211" t="s">
        <v>369</v>
      </c>
      <c r="AZ27" s="211" t="s">
        <v>369</v>
      </c>
      <c r="BA27" s="211"/>
      <c r="BB27" s="211"/>
      <c r="BC27" s="211"/>
      <c r="BD27" s="211">
        <v>3</v>
      </c>
      <c r="BE27" s="211"/>
      <c r="BF27" s="211"/>
      <c r="BG27" s="211"/>
      <c r="BH27" s="218">
        <v>0</v>
      </c>
    </row>
    <row r="28" spans="1:60" s="45" customFormat="1" x14ac:dyDescent="0.2">
      <c r="A28" s="38">
        <v>22</v>
      </c>
      <c r="B28" s="200" t="s">
        <v>140</v>
      </c>
      <c r="C28" s="201">
        <v>5</v>
      </c>
      <c r="D28" s="214">
        <v>4</v>
      </c>
      <c r="E28" s="214">
        <v>4</v>
      </c>
      <c r="F28" s="214">
        <v>3</v>
      </c>
      <c r="G28" s="214">
        <v>2</v>
      </c>
      <c r="H28" s="214">
        <v>1</v>
      </c>
      <c r="I28" s="214">
        <v>2</v>
      </c>
      <c r="J28" s="214">
        <v>1</v>
      </c>
      <c r="K28" s="214">
        <v>1</v>
      </c>
      <c r="L28" s="215"/>
      <c r="M28" s="215">
        <v>3</v>
      </c>
      <c r="N28" s="215"/>
      <c r="O28" s="216"/>
      <c r="P28" s="216">
        <v>2</v>
      </c>
      <c r="Q28" s="215">
        <v>2</v>
      </c>
      <c r="R28" s="215">
        <v>2</v>
      </c>
      <c r="S28" s="215"/>
      <c r="T28" s="215"/>
      <c r="U28" s="215"/>
      <c r="V28" s="207">
        <f t="shared" si="4"/>
        <v>32</v>
      </c>
      <c r="W28" s="217">
        <v>4</v>
      </c>
      <c r="X28" s="217">
        <v>4</v>
      </c>
      <c r="Y28" s="217">
        <v>3</v>
      </c>
      <c r="Z28" s="217">
        <v>2</v>
      </c>
      <c r="AA28" s="217">
        <v>1</v>
      </c>
      <c r="AB28" s="217">
        <v>1</v>
      </c>
      <c r="AC28" s="217">
        <v>1</v>
      </c>
      <c r="AD28" s="217">
        <v>1</v>
      </c>
      <c r="AE28" s="216"/>
      <c r="AF28" s="216">
        <v>3</v>
      </c>
      <c r="AG28" s="216"/>
      <c r="AH28" s="216"/>
      <c r="AI28" s="216">
        <v>2</v>
      </c>
      <c r="AJ28" s="216">
        <v>2</v>
      </c>
      <c r="AK28" s="216">
        <v>2</v>
      </c>
      <c r="AL28" s="216"/>
      <c r="AM28" s="216"/>
      <c r="AN28" s="216"/>
      <c r="AO28" s="209">
        <f t="shared" si="5"/>
        <v>31</v>
      </c>
      <c r="AP28" s="211" t="s">
        <v>368</v>
      </c>
      <c r="AQ28" s="211" t="s">
        <v>368</v>
      </c>
      <c r="AR28" s="211">
        <v>4</v>
      </c>
      <c r="AS28" s="211">
        <v>2</v>
      </c>
      <c r="AT28" s="211">
        <v>2</v>
      </c>
      <c r="AU28" s="211">
        <v>3</v>
      </c>
      <c r="AV28" s="211">
        <v>2</v>
      </c>
      <c r="AW28" s="211">
        <v>2</v>
      </c>
      <c r="AX28" s="211">
        <v>3</v>
      </c>
      <c r="AY28" s="211" t="s">
        <v>369</v>
      </c>
      <c r="AZ28" s="211"/>
      <c r="BA28" s="211"/>
      <c r="BB28" s="211">
        <v>3</v>
      </c>
      <c r="BC28" s="211">
        <v>3</v>
      </c>
      <c r="BD28" s="211">
        <v>3</v>
      </c>
      <c r="BE28" s="211"/>
      <c r="BF28" s="211"/>
      <c r="BG28" s="211"/>
      <c r="BH28" s="218">
        <v>0</v>
      </c>
    </row>
    <row r="29" spans="1:60" s="45" customFormat="1" x14ac:dyDescent="0.2">
      <c r="A29" s="38">
        <v>23</v>
      </c>
      <c r="B29" s="200" t="s">
        <v>173</v>
      </c>
      <c r="C29" s="201">
        <v>5</v>
      </c>
      <c r="D29" s="214">
        <v>4</v>
      </c>
      <c r="E29" s="214">
        <v>4</v>
      </c>
      <c r="F29" s="214">
        <v>3</v>
      </c>
      <c r="G29" s="214">
        <v>2</v>
      </c>
      <c r="H29" s="214">
        <v>1</v>
      </c>
      <c r="I29" s="214">
        <v>2</v>
      </c>
      <c r="J29" s="214">
        <v>1</v>
      </c>
      <c r="K29" s="214">
        <v>1</v>
      </c>
      <c r="L29" s="215"/>
      <c r="M29" s="215">
        <v>3</v>
      </c>
      <c r="N29" s="215"/>
      <c r="O29" s="216"/>
      <c r="P29" s="216">
        <v>2</v>
      </c>
      <c r="Q29" s="215">
        <v>2</v>
      </c>
      <c r="R29" s="215">
        <v>2</v>
      </c>
      <c r="S29" s="215"/>
      <c r="T29" s="215"/>
      <c r="U29" s="215"/>
      <c r="V29" s="207">
        <f t="shared" si="4"/>
        <v>32</v>
      </c>
      <c r="W29" s="217">
        <v>4</v>
      </c>
      <c r="X29" s="217">
        <v>4</v>
      </c>
      <c r="Y29" s="217">
        <v>3</v>
      </c>
      <c r="Z29" s="217">
        <v>2</v>
      </c>
      <c r="AA29" s="217">
        <v>1</v>
      </c>
      <c r="AB29" s="217">
        <v>1</v>
      </c>
      <c r="AC29" s="217">
        <v>1</v>
      </c>
      <c r="AD29" s="217">
        <v>1</v>
      </c>
      <c r="AE29" s="216"/>
      <c r="AF29" s="216">
        <v>3</v>
      </c>
      <c r="AG29" s="216"/>
      <c r="AH29" s="216"/>
      <c r="AI29" s="216">
        <v>2</v>
      </c>
      <c r="AJ29" s="216">
        <v>2</v>
      </c>
      <c r="AK29" s="216">
        <v>2</v>
      </c>
      <c r="AL29" s="216"/>
      <c r="AM29" s="216"/>
      <c r="AN29" s="216"/>
      <c r="AO29" s="209">
        <f t="shared" si="5"/>
        <v>31</v>
      </c>
      <c r="AP29" s="211" t="s">
        <v>368</v>
      </c>
      <c r="AQ29" s="211" t="s">
        <v>368</v>
      </c>
      <c r="AR29" s="211">
        <v>4</v>
      </c>
      <c r="AS29" s="211">
        <v>2</v>
      </c>
      <c r="AT29" s="211">
        <v>2</v>
      </c>
      <c r="AU29" s="211">
        <v>3</v>
      </c>
      <c r="AV29" s="211">
        <v>2</v>
      </c>
      <c r="AW29" s="211">
        <v>2</v>
      </c>
      <c r="AX29" s="211">
        <v>3</v>
      </c>
      <c r="AY29" s="211" t="s">
        <v>369</v>
      </c>
      <c r="AZ29" s="211"/>
      <c r="BA29" s="211"/>
      <c r="BB29" s="211">
        <v>3</v>
      </c>
      <c r="BC29" s="211">
        <v>3</v>
      </c>
      <c r="BD29" s="211">
        <v>3</v>
      </c>
      <c r="BE29" s="211"/>
      <c r="BF29" s="211"/>
      <c r="BG29" s="211"/>
      <c r="BH29" s="218">
        <v>0</v>
      </c>
    </row>
    <row r="30" spans="1:60" s="45" customFormat="1" x14ac:dyDescent="0.2">
      <c r="A30" s="38">
        <v>24</v>
      </c>
      <c r="B30" s="200" t="s">
        <v>213</v>
      </c>
      <c r="C30" s="201">
        <v>5</v>
      </c>
      <c r="D30" s="214">
        <v>3</v>
      </c>
      <c r="E30" s="214">
        <v>4</v>
      </c>
      <c r="F30" s="214">
        <v>3</v>
      </c>
      <c r="G30" s="214">
        <v>2</v>
      </c>
      <c r="H30" s="214">
        <v>1</v>
      </c>
      <c r="I30" s="214">
        <v>2</v>
      </c>
      <c r="J30" s="214">
        <v>1</v>
      </c>
      <c r="K30" s="214">
        <v>1</v>
      </c>
      <c r="L30" s="215">
        <v>3</v>
      </c>
      <c r="M30" s="215"/>
      <c r="N30" s="215"/>
      <c r="O30" s="216">
        <v>3</v>
      </c>
      <c r="P30" s="216"/>
      <c r="Q30" s="215">
        <v>2</v>
      </c>
      <c r="R30" s="215">
        <v>2</v>
      </c>
      <c r="S30" s="215"/>
      <c r="T30" s="215"/>
      <c r="U30" s="215"/>
      <c r="V30" s="207">
        <f t="shared" si="4"/>
        <v>32</v>
      </c>
      <c r="W30" s="217">
        <v>3</v>
      </c>
      <c r="X30" s="217">
        <v>4</v>
      </c>
      <c r="Y30" s="217">
        <v>3</v>
      </c>
      <c r="Z30" s="217">
        <v>2</v>
      </c>
      <c r="AA30" s="217">
        <v>1</v>
      </c>
      <c r="AB30" s="217">
        <v>1</v>
      </c>
      <c r="AC30" s="217">
        <v>1</v>
      </c>
      <c r="AD30" s="217">
        <v>1</v>
      </c>
      <c r="AE30" s="216">
        <v>3</v>
      </c>
      <c r="AF30" s="216"/>
      <c r="AG30" s="216"/>
      <c r="AH30" s="216">
        <v>3</v>
      </c>
      <c r="AI30" s="216"/>
      <c r="AJ30" s="216">
        <v>2</v>
      </c>
      <c r="AK30" s="216">
        <v>2</v>
      </c>
      <c r="AL30" s="216"/>
      <c r="AM30" s="216"/>
      <c r="AN30" s="216"/>
      <c r="AO30" s="209">
        <f t="shared" si="5"/>
        <v>31</v>
      </c>
      <c r="AP30" s="211">
        <v>4</v>
      </c>
      <c r="AQ30" s="211" t="s">
        <v>368</v>
      </c>
      <c r="AR30" s="211">
        <v>4</v>
      </c>
      <c r="AS30" s="211">
        <v>2</v>
      </c>
      <c r="AT30" s="211">
        <v>2</v>
      </c>
      <c r="AU30" s="211">
        <v>3</v>
      </c>
      <c r="AV30" s="211">
        <v>2</v>
      </c>
      <c r="AW30" s="211">
        <v>2</v>
      </c>
      <c r="AX30" s="211" t="s">
        <v>369</v>
      </c>
      <c r="AY30" s="211"/>
      <c r="AZ30" s="211"/>
      <c r="BA30" s="211" t="s">
        <v>369</v>
      </c>
      <c r="BB30" s="211"/>
      <c r="BC30" s="211">
        <v>3</v>
      </c>
      <c r="BD30" s="211">
        <v>3</v>
      </c>
      <c r="BE30" s="211"/>
      <c r="BF30" s="211"/>
      <c r="BG30" s="211"/>
      <c r="BH30" s="218">
        <v>0</v>
      </c>
    </row>
    <row r="31" spans="1:60" s="45" customFormat="1" x14ac:dyDescent="0.2">
      <c r="A31" s="38">
        <v>25</v>
      </c>
      <c r="B31" s="200" t="s">
        <v>214</v>
      </c>
      <c r="C31" s="201">
        <v>5</v>
      </c>
      <c r="D31" s="214">
        <v>3</v>
      </c>
      <c r="E31" s="214">
        <v>4</v>
      </c>
      <c r="F31" s="214">
        <v>3</v>
      </c>
      <c r="G31" s="214">
        <v>2</v>
      </c>
      <c r="H31" s="214">
        <v>1</v>
      </c>
      <c r="I31" s="214">
        <v>2</v>
      </c>
      <c r="J31" s="214">
        <v>1</v>
      </c>
      <c r="K31" s="214">
        <v>1</v>
      </c>
      <c r="L31" s="215">
        <v>3</v>
      </c>
      <c r="M31" s="215"/>
      <c r="N31" s="215"/>
      <c r="O31" s="216">
        <v>3</v>
      </c>
      <c r="P31" s="216"/>
      <c r="Q31" s="215">
        <v>2</v>
      </c>
      <c r="R31" s="215">
        <v>2</v>
      </c>
      <c r="S31" s="215"/>
      <c r="T31" s="215"/>
      <c r="U31" s="215"/>
      <c r="V31" s="207">
        <f t="shared" si="4"/>
        <v>32</v>
      </c>
      <c r="W31" s="217">
        <v>3</v>
      </c>
      <c r="X31" s="217">
        <v>4</v>
      </c>
      <c r="Y31" s="217">
        <v>3</v>
      </c>
      <c r="Z31" s="217">
        <v>2</v>
      </c>
      <c r="AA31" s="217">
        <v>1</v>
      </c>
      <c r="AB31" s="217">
        <v>1</v>
      </c>
      <c r="AC31" s="217">
        <v>1</v>
      </c>
      <c r="AD31" s="217">
        <v>1</v>
      </c>
      <c r="AE31" s="216">
        <v>3</v>
      </c>
      <c r="AF31" s="216"/>
      <c r="AG31" s="216"/>
      <c r="AH31" s="216">
        <v>3</v>
      </c>
      <c r="AI31" s="216"/>
      <c r="AJ31" s="216">
        <v>2</v>
      </c>
      <c r="AK31" s="216">
        <v>2</v>
      </c>
      <c r="AL31" s="216"/>
      <c r="AM31" s="216"/>
      <c r="AN31" s="216"/>
      <c r="AO31" s="209">
        <f t="shared" si="5"/>
        <v>31</v>
      </c>
      <c r="AP31" s="211">
        <v>4</v>
      </c>
      <c r="AQ31" s="211" t="s">
        <v>368</v>
      </c>
      <c r="AR31" s="211">
        <v>4</v>
      </c>
      <c r="AS31" s="211">
        <v>2</v>
      </c>
      <c r="AT31" s="211">
        <v>2</v>
      </c>
      <c r="AU31" s="211">
        <v>3</v>
      </c>
      <c r="AV31" s="211">
        <v>2</v>
      </c>
      <c r="AW31" s="211">
        <v>2</v>
      </c>
      <c r="AX31" s="211" t="s">
        <v>369</v>
      </c>
      <c r="AY31" s="211"/>
      <c r="AZ31" s="211"/>
      <c r="BA31" s="211" t="s">
        <v>369</v>
      </c>
      <c r="BB31" s="211"/>
      <c r="BC31" s="211">
        <v>3</v>
      </c>
      <c r="BD31" s="211">
        <v>3</v>
      </c>
      <c r="BE31" s="211"/>
      <c r="BF31" s="211"/>
      <c r="BG31" s="211"/>
      <c r="BH31" s="218">
        <v>0</v>
      </c>
    </row>
    <row r="32" spans="1:60" s="65" customFormat="1" x14ac:dyDescent="0.2">
      <c r="A32" s="38">
        <v>26</v>
      </c>
      <c r="B32" s="200" t="s">
        <v>215</v>
      </c>
      <c r="C32" s="201">
        <v>5</v>
      </c>
      <c r="D32" s="214">
        <v>3</v>
      </c>
      <c r="E32" s="214">
        <v>4</v>
      </c>
      <c r="F32" s="214">
        <v>3</v>
      </c>
      <c r="G32" s="214">
        <v>2</v>
      </c>
      <c r="H32" s="214">
        <v>1</v>
      </c>
      <c r="I32" s="214">
        <v>2</v>
      </c>
      <c r="J32" s="214">
        <v>1</v>
      </c>
      <c r="K32" s="214">
        <v>1</v>
      </c>
      <c r="L32" s="215">
        <v>3</v>
      </c>
      <c r="M32" s="215"/>
      <c r="N32" s="215"/>
      <c r="O32" s="216">
        <v>3</v>
      </c>
      <c r="P32" s="216"/>
      <c r="Q32" s="215">
        <v>2</v>
      </c>
      <c r="R32" s="215">
        <v>2</v>
      </c>
      <c r="S32" s="215"/>
      <c r="T32" s="215"/>
      <c r="U32" s="215"/>
      <c r="V32" s="207">
        <f t="shared" si="4"/>
        <v>32</v>
      </c>
      <c r="W32" s="217">
        <v>3</v>
      </c>
      <c r="X32" s="217">
        <v>4</v>
      </c>
      <c r="Y32" s="217">
        <v>3</v>
      </c>
      <c r="Z32" s="217">
        <v>2</v>
      </c>
      <c r="AA32" s="217">
        <v>1</v>
      </c>
      <c r="AB32" s="217">
        <v>1</v>
      </c>
      <c r="AC32" s="217">
        <v>1</v>
      </c>
      <c r="AD32" s="217">
        <v>1</v>
      </c>
      <c r="AE32" s="216">
        <v>3</v>
      </c>
      <c r="AF32" s="216"/>
      <c r="AG32" s="216"/>
      <c r="AH32" s="216">
        <v>3</v>
      </c>
      <c r="AI32" s="216"/>
      <c r="AJ32" s="216">
        <v>2</v>
      </c>
      <c r="AK32" s="216">
        <v>2</v>
      </c>
      <c r="AL32" s="216"/>
      <c r="AM32" s="216"/>
      <c r="AN32" s="216"/>
      <c r="AO32" s="209">
        <f t="shared" si="5"/>
        <v>31</v>
      </c>
      <c r="AP32" s="211">
        <v>4</v>
      </c>
      <c r="AQ32" s="211" t="s">
        <v>368</v>
      </c>
      <c r="AR32" s="211">
        <v>4</v>
      </c>
      <c r="AS32" s="211">
        <v>2</v>
      </c>
      <c r="AT32" s="211">
        <v>2</v>
      </c>
      <c r="AU32" s="211">
        <v>3</v>
      </c>
      <c r="AV32" s="211">
        <v>2</v>
      </c>
      <c r="AW32" s="211">
        <v>2</v>
      </c>
      <c r="AX32" s="211" t="s">
        <v>369</v>
      </c>
      <c r="AY32" s="211"/>
      <c r="AZ32" s="211"/>
      <c r="BA32" s="211" t="s">
        <v>369</v>
      </c>
      <c r="BB32" s="211"/>
      <c r="BC32" s="211">
        <v>3</v>
      </c>
      <c r="BD32" s="211">
        <v>3</v>
      </c>
      <c r="BE32" s="211"/>
      <c r="BF32" s="211"/>
      <c r="BG32" s="211"/>
      <c r="BH32" s="218">
        <v>0</v>
      </c>
    </row>
    <row r="33" spans="1:61" s="45" customFormat="1" x14ac:dyDescent="0.2">
      <c r="A33" s="38">
        <v>27</v>
      </c>
      <c r="B33" s="200" t="s">
        <v>219</v>
      </c>
      <c r="C33" s="201">
        <v>5</v>
      </c>
      <c r="D33" s="214">
        <v>3</v>
      </c>
      <c r="E33" s="214">
        <v>4</v>
      </c>
      <c r="F33" s="214">
        <v>3</v>
      </c>
      <c r="G33" s="214">
        <v>2</v>
      </c>
      <c r="H33" s="214">
        <v>1</v>
      </c>
      <c r="I33" s="214">
        <v>2</v>
      </c>
      <c r="J33" s="214">
        <v>1</v>
      </c>
      <c r="K33" s="214">
        <v>1</v>
      </c>
      <c r="L33" s="215">
        <v>3</v>
      </c>
      <c r="M33" s="215"/>
      <c r="N33" s="215"/>
      <c r="O33" s="216">
        <v>3</v>
      </c>
      <c r="P33" s="216">
        <v>2</v>
      </c>
      <c r="Q33" s="215">
        <v>2</v>
      </c>
      <c r="R33" s="215"/>
      <c r="S33" s="215"/>
      <c r="T33" s="215"/>
      <c r="U33" s="215"/>
      <c r="V33" s="207">
        <f t="shared" si="4"/>
        <v>32</v>
      </c>
      <c r="W33" s="217">
        <v>3</v>
      </c>
      <c r="X33" s="217">
        <v>4</v>
      </c>
      <c r="Y33" s="217">
        <v>3</v>
      </c>
      <c r="Z33" s="217">
        <v>2</v>
      </c>
      <c r="AA33" s="217">
        <v>1</v>
      </c>
      <c r="AB33" s="217">
        <v>1</v>
      </c>
      <c r="AC33" s="217">
        <v>1</v>
      </c>
      <c r="AD33" s="217">
        <v>1</v>
      </c>
      <c r="AE33" s="216">
        <v>3</v>
      </c>
      <c r="AF33" s="216"/>
      <c r="AG33" s="216"/>
      <c r="AH33" s="216">
        <v>3</v>
      </c>
      <c r="AI33" s="216">
        <v>2</v>
      </c>
      <c r="AJ33" s="216">
        <v>2</v>
      </c>
      <c r="AK33" s="216"/>
      <c r="AL33" s="216"/>
      <c r="AM33" s="216"/>
      <c r="AN33" s="216"/>
      <c r="AO33" s="209">
        <f t="shared" si="5"/>
        <v>31</v>
      </c>
      <c r="AP33" s="211">
        <v>4</v>
      </c>
      <c r="AQ33" s="211" t="s">
        <v>368</v>
      </c>
      <c r="AR33" s="211">
        <v>4</v>
      </c>
      <c r="AS33" s="211">
        <v>2</v>
      </c>
      <c r="AT33" s="211">
        <v>2</v>
      </c>
      <c r="AU33" s="211">
        <v>3</v>
      </c>
      <c r="AV33" s="211">
        <v>2</v>
      </c>
      <c r="AW33" s="211">
        <v>2</v>
      </c>
      <c r="AX33" s="211" t="s">
        <v>369</v>
      </c>
      <c r="AY33" s="211"/>
      <c r="AZ33" s="211"/>
      <c r="BA33" s="211" t="s">
        <v>369</v>
      </c>
      <c r="BB33" s="211">
        <v>3</v>
      </c>
      <c r="BC33" s="211">
        <v>3</v>
      </c>
      <c r="BD33" s="211"/>
      <c r="BE33" s="211"/>
      <c r="BF33" s="211"/>
      <c r="BG33" s="211"/>
      <c r="BH33" s="218">
        <v>0</v>
      </c>
    </row>
    <row r="34" spans="1:61" s="45" customFormat="1" x14ac:dyDescent="0.2">
      <c r="A34" s="38">
        <v>28</v>
      </c>
      <c r="B34" s="200" t="s">
        <v>473</v>
      </c>
      <c r="C34" s="201">
        <v>5</v>
      </c>
      <c r="D34" s="214">
        <v>3</v>
      </c>
      <c r="E34" s="214">
        <v>4</v>
      </c>
      <c r="F34" s="214">
        <v>3</v>
      </c>
      <c r="G34" s="214">
        <v>2</v>
      </c>
      <c r="H34" s="214">
        <v>1</v>
      </c>
      <c r="I34" s="214">
        <v>3</v>
      </c>
      <c r="J34" s="214">
        <v>1</v>
      </c>
      <c r="K34" s="214">
        <v>1</v>
      </c>
      <c r="L34" s="215">
        <v>2</v>
      </c>
      <c r="M34" s="215"/>
      <c r="N34" s="215"/>
      <c r="O34" s="216">
        <v>3</v>
      </c>
      <c r="P34" s="216">
        <v>2</v>
      </c>
      <c r="Q34" s="215"/>
      <c r="R34" s="215">
        <v>2</v>
      </c>
      <c r="S34" s="215"/>
      <c r="T34" s="215"/>
      <c r="U34" s="215"/>
      <c r="V34" s="207">
        <f t="shared" si="4"/>
        <v>32</v>
      </c>
      <c r="W34" s="217">
        <v>3</v>
      </c>
      <c r="X34" s="217">
        <v>4</v>
      </c>
      <c r="Y34" s="217">
        <v>3</v>
      </c>
      <c r="Z34" s="217">
        <v>2</v>
      </c>
      <c r="AA34" s="217">
        <v>1</v>
      </c>
      <c r="AB34" s="217">
        <v>2</v>
      </c>
      <c r="AC34" s="217">
        <v>1</v>
      </c>
      <c r="AD34" s="217">
        <v>1</v>
      </c>
      <c r="AE34" s="216">
        <v>2</v>
      </c>
      <c r="AF34" s="216"/>
      <c r="AG34" s="216"/>
      <c r="AH34" s="216">
        <v>3</v>
      </c>
      <c r="AI34" s="216">
        <v>2</v>
      </c>
      <c r="AJ34" s="216"/>
      <c r="AK34" s="216">
        <v>2</v>
      </c>
      <c r="AL34" s="216"/>
      <c r="AM34" s="216"/>
      <c r="AN34" s="216"/>
      <c r="AO34" s="209">
        <f t="shared" si="5"/>
        <v>31</v>
      </c>
      <c r="AP34" s="211">
        <v>4</v>
      </c>
      <c r="AQ34" s="211" t="s">
        <v>368</v>
      </c>
      <c r="AR34" s="211">
        <v>4</v>
      </c>
      <c r="AS34" s="211">
        <v>2</v>
      </c>
      <c r="AT34" s="211">
        <v>2</v>
      </c>
      <c r="AU34" s="211" t="s">
        <v>369</v>
      </c>
      <c r="AV34" s="211">
        <v>2</v>
      </c>
      <c r="AW34" s="211">
        <v>2</v>
      </c>
      <c r="AX34" s="211">
        <v>3</v>
      </c>
      <c r="AY34" s="211"/>
      <c r="AZ34" s="211"/>
      <c r="BA34" s="211" t="s">
        <v>369</v>
      </c>
      <c r="BB34" s="211">
        <v>3</v>
      </c>
      <c r="BC34" s="211"/>
      <c r="BD34" s="211">
        <v>3</v>
      </c>
      <c r="BE34" s="211"/>
      <c r="BF34" s="211"/>
      <c r="BG34" s="211"/>
      <c r="BH34" s="218">
        <v>0</v>
      </c>
    </row>
    <row r="35" spans="1:61" s="45" customFormat="1" hidden="1" x14ac:dyDescent="0.2">
      <c r="A35" s="38"/>
      <c r="B35" s="39"/>
      <c r="C35" s="66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207">
        <f t="shared" ref="V35:V36" si="6">SUM(C35:U35)</f>
        <v>0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209">
        <f t="shared" si="1"/>
        <v>0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6">
        <v>0</v>
      </c>
    </row>
    <row r="36" spans="1:61" s="45" customFormat="1" hidden="1" x14ac:dyDescent="0.2">
      <c r="A36" s="38"/>
      <c r="B36" s="39"/>
      <c r="C36" s="6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207">
        <f t="shared" si="6"/>
        <v>0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209">
        <f t="shared" si="1"/>
        <v>0</v>
      </c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6">
        <v>0</v>
      </c>
    </row>
    <row r="37" spans="1:61" s="126" customFormat="1" ht="8.25" x14ac:dyDescent="0.15">
      <c r="A37" s="123"/>
      <c r="B37" s="124">
        <f>COUNTA(B7:B36)</f>
        <v>28</v>
      </c>
      <c r="C37" s="123">
        <f t="shared" ref="C37:BH37" si="7">SUM(C7:C36)</f>
        <v>140</v>
      </c>
      <c r="D37" s="256">
        <f>SUM(D7:D36)</f>
        <v>89</v>
      </c>
      <c r="E37" s="256">
        <f t="shared" ref="E37:AO37" si="8">SUM(E7:E36)</f>
        <v>112</v>
      </c>
      <c r="F37" s="256">
        <f t="shared" si="8"/>
        <v>84</v>
      </c>
      <c r="G37" s="256">
        <f t="shared" si="8"/>
        <v>56</v>
      </c>
      <c r="H37" s="256">
        <f t="shared" si="8"/>
        <v>28</v>
      </c>
      <c r="I37" s="256">
        <f t="shared" si="8"/>
        <v>49</v>
      </c>
      <c r="J37" s="256">
        <f t="shared" si="8"/>
        <v>28</v>
      </c>
      <c r="K37" s="256">
        <f t="shared" si="8"/>
        <v>28</v>
      </c>
      <c r="L37" s="256">
        <f t="shared" si="8"/>
        <v>55</v>
      </c>
      <c r="M37" s="256">
        <f t="shared" si="8"/>
        <v>48</v>
      </c>
      <c r="N37" s="256">
        <f t="shared" si="8"/>
        <v>30</v>
      </c>
      <c r="O37" s="256">
        <f t="shared" si="8"/>
        <v>39</v>
      </c>
      <c r="P37" s="256">
        <f t="shared" si="8"/>
        <v>22</v>
      </c>
      <c r="Q37" s="256">
        <f t="shared" si="8"/>
        <v>42</v>
      </c>
      <c r="R37" s="256">
        <f t="shared" si="8"/>
        <v>34</v>
      </c>
      <c r="S37" s="256">
        <f t="shared" si="8"/>
        <v>2</v>
      </c>
      <c r="T37" s="256">
        <f t="shared" si="8"/>
        <v>0</v>
      </c>
      <c r="U37" s="256">
        <f t="shared" si="8"/>
        <v>0</v>
      </c>
      <c r="V37" s="256">
        <f t="shared" si="8"/>
        <v>886</v>
      </c>
      <c r="W37" s="256">
        <f t="shared" si="8"/>
        <v>89</v>
      </c>
      <c r="X37" s="256">
        <f t="shared" si="8"/>
        <v>112</v>
      </c>
      <c r="Y37" s="256">
        <f t="shared" si="8"/>
        <v>84</v>
      </c>
      <c r="Z37" s="256">
        <f t="shared" si="8"/>
        <v>56</v>
      </c>
      <c r="AA37" s="256">
        <f t="shared" si="8"/>
        <v>28</v>
      </c>
      <c r="AB37" s="256">
        <f t="shared" si="8"/>
        <v>41</v>
      </c>
      <c r="AC37" s="256">
        <f t="shared" si="8"/>
        <v>28</v>
      </c>
      <c r="AD37" s="256">
        <f t="shared" si="8"/>
        <v>28</v>
      </c>
      <c r="AE37" s="256">
        <f t="shared" si="8"/>
        <v>55</v>
      </c>
      <c r="AF37" s="256">
        <f t="shared" si="8"/>
        <v>48</v>
      </c>
      <c r="AG37" s="256">
        <f t="shared" si="8"/>
        <v>30</v>
      </c>
      <c r="AH37" s="256">
        <f t="shared" si="8"/>
        <v>39</v>
      </c>
      <c r="AI37" s="256">
        <f t="shared" si="8"/>
        <v>22</v>
      </c>
      <c r="AJ37" s="256">
        <f t="shared" si="8"/>
        <v>42</v>
      </c>
      <c r="AK37" s="256">
        <f t="shared" si="8"/>
        <v>34</v>
      </c>
      <c r="AL37" s="256">
        <f t="shared" si="8"/>
        <v>2</v>
      </c>
      <c r="AM37" s="256">
        <f t="shared" si="8"/>
        <v>0</v>
      </c>
      <c r="AN37" s="256">
        <f t="shared" si="8"/>
        <v>0</v>
      </c>
      <c r="AO37" s="256">
        <f t="shared" si="8"/>
        <v>878</v>
      </c>
      <c r="AP37" s="125">
        <f t="shared" si="7"/>
        <v>92</v>
      </c>
      <c r="AQ37" s="125">
        <f t="shared" si="7"/>
        <v>0</v>
      </c>
      <c r="AR37" s="125">
        <f t="shared" si="7"/>
        <v>112</v>
      </c>
      <c r="AS37" s="125">
        <f t="shared" si="7"/>
        <v>56</v>
      </c>
      <c r="AT37" s="125">
        <f t="shared" si="7"/>
        <v>56</v>
      </c>
      <c r="AU37" s="125">
        <f t="shared" si="7"/>
        <v>75</v>
      </c>
      <c r="AV37" s="125">
        <f t="shared" si="7"/>
        <v>56</v>
      </c>
      <c r="AW37" s="125">
        <f t="shared" si="7"/>
        <v>56</v>
      </c>
      <c r="AX37" s="125">
        <f t="shared" si="7"/>
        <v>57</v>
      </c>
      <c r="AY37" s="125">
        <f t="shared" si="7"/>
        <v>0</v>
      </c>
      <c r="AZ37" s="125">
        <f t="shared" si="7"/>
        <v>0</v>
      </c>
      <c r="BA37" s="125">
        <f t="shared" si="7"/>
        <v>0</v>
      </c>
      <c r="BB37" s="125">
        <f t="shared" si="7"/>
        <v>36</v>
      </c>
      <c r="BC37" s="125">
        <f t="shared" si="7"/>
        <v>63</v>
      </c>
      <c r="BD37" s="125">
        <f t="shared" si="7"/>
        <v>51</v>
      </c>
      <c r="BE37" s="125">
        <f t="shared" si="7"/>
        <v>3</v>
      </c>
      <c r="BF37" s="125">
        <f t="shared" si="7"/>
        <v>0</v>
      </c>
      <c r="BG37" s="125">
        <f t="shared" si="7"/>
        <v>0</v>
      </c>
      <c r="BH37" s="125">
        <f t="shared" si="7"/>
        <v>0</v>
      </c>
    </row>
    <row r="38" spans="1:61" ht="15.75" x14ac:dyDescent="0.25">
      <c r="A38" s="553" t="s">
        <v>341</v>
      </c>
      <c r="B38" s="554"/>
      <c r="C38" s="554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  <c r="T38" s="554"/>
      <c r="U38" s="554"/>
      <c r="V38" s="554"/>
      <c r="W38" s="554"/>
      <c r="X38" s="554"/>
      <c r="Y38" s="554"/>
      <c r="Z38" s="554"/>
      <c r="AA38" s="554"/>
      <c r="AB38" s="554"/>
      <c r="AC38" s="554"/>
      <c r="AD38" s="554"/>
      <c r="AE38" s="554"/>
      <c r="AF38" s="554"/>
      <c r="AG38" s="554"/>
      <c r="AH38" s="554"/>
      <c r="AI38" s="554"/>
      <c r="AJ38" s="554"/>
      <c r="AK38" s="554"/>
      <c r="AL38" s="554"/>
      <c r="AM38" s="554"/>
      <c r="AN38" s="554"/>
      <c r="AO38" s="554"/>
      <c r="AP38" s="554"/>
      <c r="AQ38" s="554"/>
      <c r="AR38" s="554"/>
      <c r="AS38" s="554"/>
      <c r="AT38" s="554"/>
      <c r="AU38" s="554"/>
      <c r="AV38" s="554"/>
      <c r="AW38" s="554"/>
      <c r="AX38" s="554"/>
      <c r="AY38" s="554"/>
      <c r="AZ38" s="554"/>
      <c r="BA38" s="554"/>
      <c r="BB38" s="554"/>
      <c r="BC38" s="554"/>
      <c r="BD38" s="554"/>
      <c r="BE38" s="554"/>
      <c r="BF38" s="554"/>
      <c r="BG38" s="554"/>
      <c r="BH38" s="555"/>
    </row>
    <row r="39" spans="1:61" s="105" customFormat="1" ht="10.5" customHeight="1" x14ac:dyDescent="0.2">
      <c r="A39" s="535" t="s">
        <v>2</v>
      </c>
      <c r="B39" s="535" t="s">
        <v>315</v>
      </c>
      <c r="C39" s="535"/>
      <c r="D39" s="561" t="s">
        <v>112</v>
      </c>
      <c r="E39" s="561"/>
      <c r="F39" s="561"/>
      <c r="G39" s="561"/>
      <c r="H39" s="561"/>
      <c r="I39" s="561"/>
      <c r="J39" s="608" t="s">
        <v>418</v>
      </c>
      <c r="K39" s="568"/>
      <c r="L39" s="568"/>
      <c r="M39" s="568"/>
      <c r="N39" s="568"/>
      <c r="O39" s="568"/>
      <c r="P39" s="568">
        <f>SUM(J41:O50)</f>
        <v>28</v>
      </c>
      <c r="Q39" s="569"/>
      <c r="R39" s="570" t="s">
        <v>419</v>
      </c>
      <c r="S39" s="571"/>
      <c r="T39" s="571"/>
      <c r="U39" s="571"/>
      <c r="V39" s="571"/>
      <c r="W39" s="571"/>
      <c r="X39" s="571">
        <f>SUM(R41:W50)</f>
        <v>28</v>
      </c>
      <c r="Y39" s="572"/>
      <c r="Z39" s="561" t="s">
        <v>11</v>
      </c>
      <c r="AA39" s="561"/>
      <c r="AB39" s="561"/>
      <c r="AC39" s="561"/>
      <c r="AD39" s="561" t="s">
        <v>323</v>
      </c>
      <c r="AE39" s="561"/>
      <c r="AF39" s="561"/>
      <c r="AG39" s="561"/>
      <c r="AH39" s="607" t="s">
        <v>367</v>
      </c>
      <c r="AI39" s="607"/>
      <c r="AJ39" s="607"/>
      <c r="AK39" s="607"/>
      <c r="AL39" s="561" t="s">
        <v>321</v>
      </c>
      <c r="AM39" s="561"/>
      <c r="AN39" s="561"/>
      <c r="AO39" s="561"/>
      <c r="AP39" s="526" t="s">
        <v>382</v>
      </c>
      <c r="AQ39" s="527"/>
      <c r="AR39" s="527"/>
      <c r="AS39" s="527"/>
      <c r="AT39" s="527"/>
      <c r="AU39" s="528"/>
      <c r="AV39" s="526" t="s">
        <v>113</v>
      </c>
      <c r="AW39" s="527"/>
      <c r="AX39" s="527"/>
      <c r="AY39" s="528"/>
      <c r="AZ39" s="526" t="s">
        <v>378</v>
      </c>
      <c r="BA39" s="527"/>
      <c r="BB39" s="527"/>
      <c r="BC39" s="527"/>
      <c r="BD39" s="527"/>
      <c r="BE39" s="528"/>
      <c r="BF39" s="529" t="s">
        <v>428</v>
      </c>
      <c r="BG39" s="530"/>
      <c r="BH39" s="531"/>
    </row>
    <row r="40" spans="1:61" x14ac:dyDescent="0.2">
      <c r="A40" s="535"/>
      <c r="B40" s="535"/>
      <c r="C40" s="535"/>
      <c r="D40" s="579" t="s">
        <v>184</v>
      </c>
      <c r="E40" s="579"/>
      <c r="F40" s="535" t="s">
        <v>316</v>
      </c>
      <c r="G40" s="535"/>
      <c r="H40" s="536" t="s">
        <v>317</v>
      </c>
      <c r="I40" s="536"/>
      <c r="J40" s="547" t="s">
        <v>376</v>
      </c>
      <c r="K40" s="548"/>
      <c r="L40" s="547" t="s">
        <v>377</v>
      </c>
      <c r="M40" s="548"/>
      <c r="N40" s="547" t="s">
        <v>375</v>
      </c>
      <c r="O40" s="548"/>
      <c r="P40" s="547" t="s">
        <v>417</v>
      </c>
      <c r="Q40" s="548"/>
      <c r="R40" s="549" t="s">
        <v>376</v>
      </c>
      <c r="S40" s="525"/>
      <c r="T40" s="549" t="s">
        <v>377</v>
      </c>
      <c r="U40" s="525"/>
      <c r="V40" s="549" t="s">
        <v>375</v>
      </c>
      <c r="W40" s="525"/>
      <c r="X40" s="549" t="s">
        <v>417</v>
      </c>
      <c r="Y40" s="525"/>
      <c r="Z40" s="606" t="s">
        <v>316</v>
      </c>
      <c r="AA40" s="606"/>
      <c r="AB40" s="563" t="s">
        <v>317</v>
      </c>
      <c r="AC40" s="563"/>
      <c r="AD40" s="537" t="s">
        <v>420</v>
      </c>
      <c r="AE40" s="538"/>
      <c r="AF40" s="537" t="s">
        <v>421</v>
      </c>
      <c r="AG40" s="538"/>
      <c r="AH40" s="563" t="s">
        <v>420</v>
      </c>
      <c r="AI40" s="563"/>
      <c r="AJ40" s="563" t="s">
        <v>421</v>
      </c>
      <c r="AK40" s="563"/>
      <c r="AL40" s="606" t="s">
        <v>316</v>
      </c>
      <c r="AM40" s="606"/>
      <c r="AN40" s="563" t="s">
        <v>317</v>
      </c>
      <c r="AO40" s="563"/>
      <c r="AP40" s="535" t="s">
        <v>376</v>
      </c>
      <c r="AQ40" s="535"/>
      <c r="AR40" s="536" t="s">
        <v>377</v>
      </c>
      <c r="AS40" s="536"/>
      <c r="AT40" s="539" t="s">
        <v>375</v>
      </c>
      <c r="AU40" s="540"/>
      <c r="AV40" s="537" t="s">
        <v>379</v>
      </c>
      <c r="AW40" s="538"/>
      <c r="AX40" s="539" t="s">
        <v>380</v>
      </c>
      <c r="AY40" s="540"/>
      <c r="AZ40" s="537" t="s">
        <v>379</v>
      </c>
      <c r="BA40" s="538"/>
      <c r="BB40" s="549" t="s">
        <v>380</v>
      </c>
      <c r="BC40" s="525"/>
      <c r="BD40" s="547" t="s">
        <v>381</v>
      </c>
      <c r="BE40" s="548"/>
      <c r="BF40" s="532"/>
      <c r="BG40" s="533"/>
      <c r="BH40" s="534"/>
    </row>
    <row r="41" spans="1:61" x14ac:dyDescent="0.2">
      <c r="A41" s="180">
        <v>1</v>
      </c>
      <c r="B41" s="604" t="s">
        <v>105</v>
      </c>
      <c r="C41" s="604"/>
      <c r="D41" s="573">
        <v>12</v>
      </c>
      <c r="E41" s="573"/>
      <c r="F41" s="601">
        <v>12</v>
      </c>
      <c r="G41" s="601"/>
      <c r="H41" s="594">
        <v>12</v>
      </c>
      <c r="I41" s="594"/>
      <c r="J41" s="566">
        <v>2</v>
      </c>
      <c r="K41" s="567"/>
      <c r="L41" s="566">
        <v>2</v>
      </c>
      <c r="M41" s="567"/>
      <c r="N41" s="566">
        <v>2</v>
      </c>
      <c r="O41" s="567"/>
      <c r="P41" s="583">
        <f>SUM(J41:O41)*5</f>
        <v>30</v>
      </c>
      <c r="Q41" s="584"/>
      <c r="R41" s="559">
        <v>2</v>
      </c>
      <c r="S41" s="560"/>
      <c r="T41" s="559">
        <v>2</v>
      </c>
      <c r="U41" s="560"/>
      <c r="V41" s="559">
        <v>2</v>
      </c>
      <c r="W41" s="560"/>
      <c r="X41" s="564">
        <f>SUM(R41:W41)*5</f>
        <v>30</v>
      </c>
      <c r="Y41" s="565"/>
      <c r="Z41" s="587">
        <f ca="1">SUMIF(CBGV!$H$4:$O$70,"Toán - tin",CBGV!$O$4:$O$70)</f>
        <v>12</v>
      </c>
      <c r="AA41" s="587"/>
      <c r="AB41" s="562">
        <f ca="1">SUMIF(CBGV!$H$4:$O$70,"Toán - tin",CBGV!$O$4:$O$70)</f>
        <v>12</v>
      </c>
      <c r="AC41" s="562"/>
      <c r="AD41" s="603">
        <v>8</v>
      </c>
      <c r="AE41" s="603"/>
      <c r="AF41" s="557">
        <f>AD41*1</f>
        <v>8</v>
      </c>
      <c r="AG41" s="557"/>
      <c r="AH41" s="586">
        <v>8</v>
      </c>
      <c r="AI41" s="586"/>
      <c r="AJ41" s="576">
        <f>AH41*1</f>
        <v>8</v>
      </c>
      <c r="AK41" s="577"/>
      <c r="AL41" s="594">
        <f>E37+Q37</f>
        <v>154</v>
      </c>
      <c r="AM41" s="594"/>
      <c r="AN41" s="605">
        <f>X37+AJ37</f>
        <v>154</v>
      </c>
      <c r="AO41" s="605"/>
      <c r="AP41" s="578"/>
      <c r="AQ41" s="578"/>
      <c r="AR41" s="595"/>
      <c r="AS41" s="595"/>
      <c r="AT41" s="597"/>
      <c r="AU41" s="598"/>
      <c r="AV41" s="518">
        <f ca="1">P41+Z41+AF41+AL41+AP41+AR41+AT41</f>
        <v>204</v>
      </c>
      <c r="AW41" s="519"/>
      <c r="AX41" s="551">
        <f ca="1">X41+AB41+AJ41+AN41+AP41+AR41+AT41</f>
        <v>204</v>
      </c>
      <c r="AY41" s="552"/>
      <c r="AZ41" s="518">
        <f ca="1">AV41/F41</f>
        <v>17</v>
      </c>
      <c r="BA41" s="519"/>
      <c r="BB41" s="520">
        <f ca="1">AX41/H41</f>
        <v>17</v>
      </c>
      <c r="BC41" s="521"/>
      <c r="BD41" s="522">
        <f ca="1">(AZ41*18+BB41*17)/35</f>
        <v>17</v>
      </c>
      <c r="BE41" s="523"/>
      <c r="BF41" s="520">
        <f ca="1">(BD41-17)*D41</f>
        <v>0</v>
      </c>
      <c r="BG41" s="524"/>
      <c r="BH41" s="525"/>
      <c r="BI41" s="37">
        <f ca="1">BF41*35</f>
        <v>0</v>
      </c>
    </row>
    <row r="42" spans="1:61" x14ac:dyDescent="0.2">
      <c r="A42" s="180">
        <v>2</v>
      </c>
      <c r="B42" s="604" t="s">
        <v>106</v>
      </c>
      <c r="C42" s="604"/>
      <c r="D42" s="573">
        <v>7</v>
      </c>
      <c r="E42" s="573"/>
      <c r="F42" s="601">
        <v>7</v>
      </c>
      <c r="G42" s="601"/>
      <c r="H42" s="594">
        <v>7</v>
      </c>
      <c r="I42" s="594"/>
      <c r="J42" s="566">
        <v>1</v>
      </c>
      <c r="K42" s="567"/>
      <c r="L42" s="566">
        <v>1</v>
      </c>
      <c r="M42" s="567"/>
      <c r="N42" s="566">
        <v>2</v>
      </c>
      <c r="O42" s="567"/>
      <c r="P42" s="583">
        <f t="shared" ref="P42:P50" si="9">SUM(J42:O42)*5</f>
        <v>20</v>
      </c>
      <c r="Q42" s="584"/>
      <c r="R42" s="559">
        <v>1</v>
      </c>
      <c r="S42" s="560"/>
      <c r="T42" s="559">
        <v>1</v>
      </c>
      <c r="U42" s="560"/>
      <c r="V42" s="559">
        <v>2</v>
      </c>
      <c r="W42" s="560"/>
      <c r="X42" s="564">
        <f t="shared" ref="X42:X50" si="10">SUM(R42:W42)*5</f>
        <v>20</v>
      </c>
      <c r="Y42" s="565"/>
      <c r="Z42" s="587">
        <f ca="1">SUMIF(CBGV!$H$4:$O$70,"Lý - CN",CBGV!$O$4:$O$70)</f>
        <v>6</v>
      </c>
      <c r="AA42" s="587"/>
      <c r="AB42" s="562">
        <f ca="1">SUMIF(CBGV!$H$4:$O$70,"Lý - CN",CBGV!$O$4:$O$70)</f>
        <v>6</v>
      </c>
      <c r="AC42" s="562"/>
      <c r="AD42" s="592">
        <v>4</v>
      </c>
      <c r="AE42" s="593"/>
      <c r="AF42" s="557">
        <f>AD42*1</f>
        <v>4</v>
      </c>
      <c r="AG42" s="557"/>
      <c r="AH42" s="586">
        <v>4</v>
      </c>
      <c r="AI42" s="586"/>
      <c r="AJ42" s="576">
        <f>AH42*1</f>
        <v>4</v>
      </c>
      <c r="AK42" s="577"/>
      <c r="AL42" s="594">
        <f>L37+R37</f>
        <v>89</v>
      </c>
      <c r="AM42" s="594"/>
      <c r="AN42" s="576">
        <f>AE37+AK37</f>
        <v>89</v>
      </c>
      <c r="AO42" s="577"/>
      <c r="AP42" s="578"/>
      <c r="AQ42" s="578"/>
      <c r="AR42" s="595"/>
      <c r="AS42" s="595"/>
      <c r="AT42" s="597"/>
      <c r="AU42" s="598"/>
      <c r="AV42" s="518">
        <f t="shared" ref="AV42:AV50" ca="1" si="11">P42+Z42+AF42+AL42+AP42+AR42+AT42</f>
        <v>119</v>
      </c>
      <c r="AW42" s="519"/>
      <c r="AX42" s="551">
        <f t="shared" ref="AX42:AX50" ca="1" si="12">X42+AB42+AJ42+AN42+AP42+AR42+AT42</f>
        <v>119</v>
      </c>
      <c r="AY42" s="552"/>
      <c r="AZ42" s="518">
        <f t="shared" ref="AZ42:AZ50" ca="1" si="13">AV42/F42</f>
        <v>17</v>
      </c>
      <c r="BA42" s="519"/>
      <c r="BB42" s="520">
        <f t="shared" ref="BB42:BB50" ca="1" si="14">AX42/H42</f>
        <v>17</v>
      </c>
      <c r="BC42" s="521"/>
      <c r="BD42" s="522">
        <f t="shared" ref="BD42:BD50" ca="1" si="15">(AZ42*18+BB42*17)/35</f>
        <v>17</v>
      </c>
      <c r="BE42" s="523"/>
      <c r="BF42" s="520">
        <f t="shared" ref="BF42:BF50" ca="1" si="16">(BD42-17)*D42</f>
        <v>0</v>
      </c>
      <c r="BG42" s="524"/>
      <c r="BH42" s="525"/>
      <c r="BI42" s="37">
        <f t="shared" ref="BI42:BI50" ca="1" si="17">BF42*35</f>
        <v>0</v>
      </c>
    </row>
    <row r="43" spans="1:61" x14ac:dyDescent="0.2">
      <c r="A43" s="180">
        <v>3</v>
      </c>
      <c r="B43" s="604" t="s">
        <v>107</v>
      </c>
      <c r="C43" s="604"/>
      <c r="D43" s="573">
        <v>5</v>
      </c>
      <c r="E43" s="573"/>
      <c r="F43" s="601">
        <v>5</v>
      </c>
      <c r="G43" s="601"/>
      <c r="H43" s="594">
        <v>5</v>
      </c>
      <c r="I43" s="594"/>
      <c r="J43" s="566">
        <v>1</v>
      </c>
      <c r="K43" s="567"/>
      <c r="L43" s="566">
        <v>1</v>
      </c>
      <c r="M43" s="567"/>
      <c r="N43" s="566">
        <v>2</v>
      </c>
      <c r="O43" s="567"/>
      <c r="P43" s="583">
        <f t="shared" si="9"/>
        <v>20</v>
      </c>
      <c r="Q43" s="584"/>
      <c r="R43" s="559">
        <v>1</v>
      </c>
      <c r="S43" s="560"/>
      <c r="T43" s="559">
        <v>1</v>
      </c>
      <c r="U43" s="560"/>
      <c r="V43" s="559">
        <v>2</v>
      </c>
      <c r="W43" s="560"/>
      <c r="X43" s="564">
        <f t="shared" si="10"/>
        <v>20</v>
      </c>
      <c r="Y43" s="565"/>
      <c r="Z43" s="587">
        <f ca="1">SUMIF(CBGV!$H$4:$O$70,"Hóa học",CBGV!$O$4:$O$70)</f>
        <v>15</v>
      </c>
      <c r="AA43" s="587"/>
      <c r="AB43" s="562">
        <f ca="1">SUMIF(CBGV!$H$4:$O$70,"Hóa học",CBGV!$O$4:$O$70)</f>
        <v>15</v>
      </c>
      <c r="AC43" s="562"/>
      <c r="AD43" s="592">
        <v>2</v>
      </c>
      <c r="AE43" s="593"/>
      <c r="AF43" s="557">
        <f t="shared" ref="AF43:AF50" si="18">AD43*1</f>
        <v>2</v>
      </c>
      <c r="AG43" s="557"/>
      <c r="AH43" s="586">
        <v>2</v>
      </c>
      <c r="AI43" s="586"/>
      <c r="AJ43" s="576">
        <f>AH43*1</f>
        <v>2</v>
      </c>
      <c r="AK43" s="577"/>
      <c r="AL43" s="594">
        <f>M37</f>
        <v>48</v>
      </c>
      <c r="AM43" s="594"/>
      <c r="AN43" s="576">
        <f>AF37</f>
        <v>48</v>
      </c>
      <c r="AO43" s="577"/>
      <c r="AP43" s="578"/>
      <c r="AQ43" s="578"/>
      <c r="AR43" s="595"/>
      <c r="AS43" s="595"/>
      <c r="AT43" s="597"/>
      <c r="AU43" s="598"/>
      <c r="AV43" s="518">
        <f t="shared" ca="1" si="11"/>
        <v>85</v>
      </c>
      <c r="AW43" s="519"/>
      <c r="AX43" s="551">
        <f t="shared" ca="1" si="12"/>
        <v>85</v>
      </c>
      <c r="AY43" s="552"/>
      <c r="AZ43" s="518">
        <f t="shared" ca="1" si="13"/>
        <v>17</v>
      </c>
      <c r="BA43" s="519"/>
      <c r="BB43" s="520">
        <f t="shared" ca="1" si="14"/>
        <v>17</v>
      </c>
      <c r="BC43" s="521"/>
      <c r="BD43" s="522">
        <f t="shared" ca="1" si="15"/>
        <v>17</v>
      </c>
      <c r="BE43" s="523"/>
      <c r="BF43" s="520">
        <f t="shared" ca="1" si="16"/>
        <v>0</v>
      </c>
      <c r="BG43" s="524"/>
      <c r="BH43" s="525"/>
      <c r="BI43" s="37">
        <f t="shared" ca="1" si="17"/>
        <v>0</v>
      </c>
    </row>
    <row r="44" spans="1:61" x14ac:dyDescent="0.2">
      <c r="A44" s="180">
        <v>4</v>
      </c>
      <c r="B44" s="604" t="s">
        <v>108</v>
      </c>
      <c r="C44" s="604"/>
      <c r="D44" s="573">
        <v>4</v>
      </c>
      <c r="E44" s="573"/>
      <c r="F44" s="601">
        <v>4</v>
      </c>
      <c r="G44" s="601"/>
      <c r="H44" s="594">
        <v>4</v>
      </c>
      <c r="I44" s="594"/>
      <c r="J44" s="566"/>
      <c r="K44" s="567"/>
      <c r="L44" s="566">
        <v>1</v>
      </c>
      <c r="M44" s="567"/>
      <c r="N44" s="566">
        <v>1</v>
      </c>
      <c r="O44" s="567"/>
      <c r="P44" s="583">
        <f t="shared" si="9"/>
        <v>10</v>
      </c>
      <c r="Q44" s="584"/>
      <c r="R44" s="559"/>
      <c r="S44" s="560"/>
      <c r="T44" s="559">
        <v>1</v>
      </c>
      <c r="U44" s="560"/>
      <c r="V44" s="559">
        <v>1</v>
      </c>
      <c r="W44" s="560"/>
      <c r="X44" s="564">
        <f t="shared" si="10"/>
        <v>10</v>
      </c>
      <c r="Y44" s="565"/>
      <c r="Z44" s="587">
        <f ca="1">SUMIF(CBGV!$H$4:$O$70,"Sinh - CN",CBGV!$O$4:$O$70)</f>
        <v>19</v>
      </c>
      <c r="AA44" s="587"/>
      <c r="AB44" s="562">
        <f ca="1">SUMIF(CBGV!$H$4:$O$70,"Sinh - CN",CBGV!$O$4:$O$70)</f>
        <v>19</v>
      </c>
      <c r="AC44" s="562"/>
      <c r="AD44" s="592">
        <v>3</v>
      </c>
      <c r="AE44" s="593"/>
      <c r="AF44" s="557">
        <f t="shared" si="18"/>
        <v>3</v>
      </c>
      <c r="AG44" s="557"/>
      <c r="AH44" s="586">
        <v>3</v>
      </c>
      <c r="AI44" s="586"/>
      <c r="AJ44" s="576">
        <f t="shared" ref="AJ44:AJ50" si="19">AH44*1</f>
        <v>3</v>
      </c>
      <c r="AK44" s="577"/>
      <c r="AL44" s="587">
        <f>N37+S37</f>
        <v>32</v>
      </c>
      <c r="AM44" s="594"/>
      <c r="AN44" s="602">
        <f>AG37+AL37</f>
        <v>32</v>
      </c>
      <c r="AO44" s="577"/>
      <c r="AP44" s="585"/>
      <c r="AQ44" s="585"/>
      <c r="AR44" s="596"/>
      <c r="AS44" s="596"/>
      <c r="AT44" s="585"/>
      <c r="AU44" s="585"/>
      <c r="AV44" s="518">
        <f ca="1">P44+Z44+AF44+AL44+AP44+AR44+AT44</f>
        <v>64</v>
      </c>
      <c r="AW44" s="519"/>
      <c r="AX44" s="551">
        <f t="shared" ca="1" si="12"/>
        <v>64</v>
      </c>
      <c r="AY44" s="552"/>
      <c r="AZ44" s="518">
        <f t="shared" ca="1" si="13"/>
        <v>16</v>
      </c>
      <c r="BA44" s="519"/>
      <c r="BB44" s="520">
        <f t="shared" ca="1" si="14"/>
        <v>16</v>
      </c>
      <c r="BC44" s="521"/>
      <c r="BD44" s="522">
        <f t="shared" ca="1" si="15"/>
        <v>16</v>
      </c>
      <c r="BE44" s="523"/>
      <c r="BF44" s="520">
        <f t="shared" ca="1" si="16"/>
        <v>-4</v>
      </c>
      <c r="BG44" s="524"/>
      <c r="BH44" s="525"/>
      <c r="BI44" s="37">
        <f t="shared" ca="1" si="17"/>
        <v>-140</v>
      </c>
    </row>
    <row r="45" spans="1:61" ht="11.25" customHeight="1" x14ac:dyDescent="0.2">
      <c r="A45" s="180">
        <v>5</v>
      </c>
      <c r="B45" s="604" t="s">
        <v>109</v>
      </c>
      <c r="C45" s="604"/>
      <c r="D45" s="573">
        <v>9</v>
      </c>
      <c r="E45" s="573"/>
      <c r="F45" s="601">
        <v>9</v>
      </c>
      <c r="G45" s="601"/>
      <c r="H45" s="594">
        <v>9</v>
      </c>
      <c r="I45" s="594"/>
      <c r="J45" s="566">
        <v>1</v>
      </c>
      <c r="K45" s="567"/>
      <c r="L45" s="566">
        <v>2</v>
      </c>
      <c r="M45" s="567"/>
      <c r="N45" s="566"/>
      <c r="O45" s="567"/>
      <c r="P45" s="583">
        <f t="shared" si="9"/>
        <v>15</v>
      </c>
      <c r="Q45" s="584"/>
      <c r="R45" s="559">
        <v>1</v>
      </c>
      <c r="S45" s="560"/>
      <c r="T45" s="559">
        <v>2</v>
      </c>
      <c r="U45" s="560"/>
      <c r="V45" s="559"/>
      <c r="W45" s="560"/>
      <c r="X45" s="564">
        <f t="shared" si="10"/>
        <v>15</v>
      </c>
      <c r="Y45" s="565"/>
      <c r="Z45" s="587">
        <f ca="1">SUMIF(CBGV!$H$4:$O$70,"Ngữ văn",CBGV!$O$4:$O$70)</f>
        <v>32</v>
      </c>
      <c r="AA45" s="587"/>
      <c r="AB45" s="562">
        <f ca="1">SUMIF(CBGV!$H$4:$O$70,"Ngữ văn",CBGV!$O$4:$O$70)</f>
        <v>32</v>
      </c>
      <c r="AC45" s="562"/>
      <c r="AD45" s="592">
        <v>5</v>
      </c>
      <c r="AE45" s="593"/>
      <c r="AF45" s="557">
        <f t="shared" si="18"/>
        <v>5</v>
      </c>
      <c r="AG45" s="557"/>
      <c r="AH45" s="586">
        <v>5</v>
      </c>
      <c r="AI45" s="586"/>
      <c r="AJ45" s="576">
        <f t="shared" ref="AJ45" si="20">AH45*1</f>
        <v>5</v>
      </c>
      <c r="AK45" s="577"/>
      <c r="AL45" s="594">
        <f>D37</f>
        <v>89</v>
      </c>
      <c r="AM45" s="594"/>
      <c r="AN45" s="576">
        <f>W37</f>
        <v>89</v>
      </c>
      <c r="AO45" s="577"/>
      <c r="AP45" s="585">
        <f>(10*8)/35</f>
        <v>2.2857142857142856</v>
      </c>
      <c r="AQ45" s="585"/>
      <c r="AR45" s="596">
        <f>(10*10)/35</f>
        <v>2.8571428571428572</v>
      </c>
      <c r="AS45" s="596"/>
      <c r="AT45" s="599">
        <f>(10*10)/35</f>
        <v>2.8571428571428572</v>
      </c>
      <c r="AU45" s="600"/>
      <c r="AV45" s="518">
        <f t="shared" ca="1" si="11"/>
        <v>149</v>
      </c>
      <c r="AW45" s="519"/>
      <c r="AX45" s="551">
        <f t="shared" ca="1" si="12"/>
        <v>149</v>
      </c>
      <c r="AY45" s="552"/>
      <c r="AZ45" s="518">
        <f t="shared" ca="1" si="13"/>
        <v>16.555555555555557</v>
      </c>
      <c r="BA45" s="519"/>
      <c r="BB45" s="520">
        <f t="shared" ca="1" si="14"/>
        <v>16.555555555555557</v>
      </c>
      <c r="BC45" s="521"/>
      <c r="BD45" s="522">
        <f t="shared" ca="1" si="15"/>
        <v>16.555555555555557</v>
      </c>
      <c r="BE45" s="523"/>
      <c r="BF45" s="520">
        <f t="shared" ca="1" si="16"/>
        <v>-3.9999999999999858</v>
      </c>
      <c r="BG45" s="524"/>
      <c r="BH45" s="525"/>
      <c r="BI45" s="37">
        <f t="shared" ca="1" si="17"/>
        <v>-139.99999999999949</v>
      </c>
    </row>
    <row r="46" spans="1:61" ht="10.5" customHeight="1" x14ac:dyDescent="0.2">
      <c r="A46" s="180">
        <v>6</v>
      </c>
      <c r="B46" s="604" t="s">
        <v>452</v>
      </c>
      <c r="C46" s="604"/>
      <c r="D46" s="605">
        <v>4</v>
      </c>
      <c r="E46" s="605"/>
      <c r="F46" s="601">
        <v>4</v>
      </c>
      <c r="G46" s="601"/>
      <c r="H46" s="594">
        <v>4</v>
      </c>
      <c r="I46" s="594"/>
      <c r="J46" s="566">
        <v>1</v>
      </c>
      <c r="K46" s="567"/>
      <c r="L46" s="566"/>
      <c r="M46" s="567"/>
      <c r="N46" s="566">
        <v>1</v>
      </c>
      <c r="O46" s="567"/>
      <c r="P46" s="583">
        <f t="shared" si="9"/>
        <v>10</v>
      </c>
      <c r="Q46" s="584"/>
      <c r="R46" s="559">
        <v>1</v>
      </c>
      <c r="S46" s="560"/>
      <c r="T46" s="559"/>
      <c r="U46" s="560"/>
      <c r="V46" s="559">
        <v>1</v>
      </c>
      <c r="W46" s="560"/>
      <c r="X46" s="564">
        <f t="shared" si="10"/>
        <v>10</v>
      </c>
      <c r="Y46" s="565"/>
      <c r="Z46" s="587">
        <f ca="1">SUMIF(CBGV!$H$4:$O$70,"Sử",CBGV!$O$4:$O$70)</f>
        <v>3</v>
      </c>
      <c r="AA46" s="587"/>
      <c r="AB46" s="562">
        <f ca="1">SUMIF(CBGV!$H$4:$O$70,"Sử",CBGV!$O$4:$O$70)</f>
        <v>3</v>
      </c>
      <c r="AC46" s="562"/>
      <c r="AD46" s="592">
        <v>2</v>
      </c>
      <c r="AE46" s="593"/>
      <c r="AF46" s="557">
        <f t="shared" si="18"/>
        <v>2</v>
      </c>
      <c r="AG46" s="557"/>
      <c r="AH46" s="586">
        <v>2</v>
      </c>
      <c r="AI46" s="586"/>
      <c r="AJ46" s="576">
        <f t="shared" si="19"/>
        <v>2</v>
      </c>
      <c r="AK46" s="577"/>
      <c r="AL46" s="594">
        <f>I37</f>
        <v>49</v>
      </c>
      <c r="AM46" s="594"/>
      <c r="AN46" s="576">
        <f>AB37</f>
        <v>41</v>
      </c>
      <c r="AO46" s="577"/>
      <c r="AP46" s="585">
        <f>(10*8)/35</f>
        <v>2.2857142857142856</v>
      </c>
      <c r="AQ46" s="585"/>
      <c r="AR46" s="596">
        <f>(10*10)/35</f>
        <v>2.8571428571428572</v>
      </c>
      <c r="AS46" s="596"/>
      <c r="AT46" s="599">
        <f>(10*10)/35</f>
        <v>2.8571428571428572</v>
      </c>
      <c r="AU46" s="600"/>
      <c r="AV46" s="518">
        <f t="shared" ca="1" si="11"/>
        <v>72.000000000000014</v>
      </c>
      <c r="AW46" s="519"/>
      <c r="AX46" s="551">
        <f t="shared" ca="1" si="12"/>
        <v>63.999999999999993</v>
      </c>
      <c r="AY46" s="552"/>
      <c r="AZ46" s="518">
        <f t="shared" ca="1" si="13"/>
        <v>18.000000000000004</v>
      </c>
      <c r="BA46" s="519"/>
      <c r="BB46" s="520">
        <f t="shared" ca="1" si="14"/>
        <v>15.999999999999998</v>
      </c>
      <c r="BC46" s="521"/>
      <c r="BD46" s="522">
        <f t="shared" ca="1" si="15"/>
        <v>17.028571428571428</v>
      </c>
      <c r="BE46" s="523"/>
      <c r="BF46" s="520">
        <f t="shared" ca="1" si="16"/>
        <v>0.11428571428571388</v>
      </c>
      <c r="BG46" s="524"/>
      <c r="BH46" s="525"/>
      <c r="BI46" s="37">
        <f t="shared" ca="1" si="17"/>
        <v>3.9999999999999858</v>
      </c>
    </row>
    <row r="47" spans="1:61" ht="10.5" customHeight="1" x14ac:dyDescent="0.2">
      <c r="A47" s="180">
        <v>7</v>
      </c>
      <c r="B47" s="604" t="s">
        <v>453</v>
      </c>
      <c r="C47" s="604"/>
      <c r="D47" s="605">
        <v>2</v>
      </c>
      <c r="E47" s="605"/>
      <c r="F47" s="601">
        <v>2</v>
      </c>
      <c r="G47" s="601"/>
      <c r="H47" s="594">
        <v>2</v>
      </c>
      <c r="I47" s="594"/>
      <c r="J47" s="566"/>
      <c r="K47" s="567"/>
      <c r="L47" s="566"/>
      <c r="M47" s="567"/>
      <c r="N47" s="566"/>
      <c r="O47" s="567"/>
      <c r="P47" s="583">
        <f t="shared" si="9"/>
        <v>0</v>
      </c>
      <c r="Q47" s="584"/>
      <c r="R47" s="559"/>
      <c r="S47" s="560"/>
      <c r="T47" s="559"/>
      <c r="U47" s="560"/>
      <c r="V47" s="559"/>
      <c r="W47" s="560"/>
      <c r="X47" s="564">
        <f t="shared" si="10"/>
        <v>0</v>
      </c>
      <c r="Y47" s="565"/>
      <c r="Z47" s="587">
        <f ca="1">SUMIF(CBGV!$H$4:$O$70,"KT&amp;PL",CBGV!$O$4:$O$70)</f>
        <v>8.5</v>
      </c>
      <c r="AA47" s="587"/>
      <c r="AB47" s="562">
        <f ca="1">SUMIF(CBGV!$H$4:$O$70,"KT&amp;PL",CBGV!$O$4:$O$70)</f>
        <v>8.5</v>
      </c>
      <c r="AC47" s="562"/>
      <c r="AD47" s="592">
        <v>0</v>
      </c>
      <c r="AE47" s="593"/>
      <c r="AF47" s="557">
        <f t="shared" si="18"/>
        <v>0</v>
      </c>
      <c r="AG47" s="557"/>
      <c r="AH47" s="586">
        <v>0</v>
      </c>
      <c r="AI47" s="586"/>
      <c r="AJ47" s="576">
        <f t="shared" si="19"/>
        <v>0</v>
      </c>
      <c r="AK47" s="577"/>
      <c r="AL47" s="594">
        <f>P37</f>
        <v>22</v>
      </c>
      <c r="AM47" s="594"/>
      <c r="AN47" s="576">
        <f>AI37</f>
        <v>22</v>
      </c>
      <c r="AO47" s="577"/>
      <c r="AP47" s="585">
        <f>(5*8)/35</f>
        <v>1.1428571428571428</v>
      </c>
      <c r="AQ47" s="585"/>
      <c r="AR47" s="596">
        <f>(5*10)/35</f>
        <v>1.4285714285714286</v>
      </c>
      <c r="AS47" s="596"/>
      <c r="AT47" s="599">
        <f>(5*10)/35</f>
        <v>1.4285714285714286</v>
      </c>
      <c r="AU47" s="600"/>
      <c r="AV47" s="518">
        <f t="shared" ca="1" si="11"/>
        <v>34.5</v>
      </c>
      <c r="AW47" s="519"/>
      <c r="AX47" s="551">
        <f t="shared" ca="1" si="12"/>
        <v>34.5</v>
      </c>
      <c r="AY47" s="552"/>
      <c r="AZ47" s="518">
        <f t="shared" ca="1" si="13"/>
        <v>17.25</v>
      </c>
      <c r="BA47" s="519"/>
      <c r="BB47" s="520">
        <f t="shared" ca="1" si="14"/>
        <v>17.25</v>
      </c>
      <c r="BC47" s="521"/>
      <c r="BD47" s="522">
        <f t="shared" ca="1" si="15"/>
        <v>17.25</v>
      </c>
      <c r="BE47" s="523"/>
      <c r="BF47" s="520">
        <f t="shared" ca="1" si="16"/>
        <v>0.5</v>
      </c>
      <c r="BG47" s="524"/>
      <c r="BH47" s="525"/>
      <c r="BI47" s="37">
        <f t="shared" ca="1" si="17"/>
        <v>17.5</v>
      </c>
    </row>
    <row r="48" spans="1:61" ht="11.25" customHeight="1" x14ac:dyDescent="0.2">
      <c r="A48" s="180">
        <v>8</v>
      </c>
      <c r="B48" s="604" t="s">
        <v>110</v>
      </c>
      <c r="C48" s="604"/>
      <c r="D48" s="573">
        <v>4</v>
      </c>
      <c r="E48" s="573"/>
      <c r="F48" s="601">
        <v>4</v>
      </c>
      <c r="G48" s="601"/>
      <c r="H48" s="594">
        <v>4</v>
      </c>
      <c r="I48" s="594"/>
      <c r="J48" s="566"/>
      <c r="K48" s="567"/>
      <c r="L48" s="566">
        <v>1</v>
      </c>
      <c r="M48" s="567"/>
      <c r="N48" s="566">
        <v>2</v>
      </c>
      <c r="O48" s="567"/>
      <c r="P48" s="583">
        <f t="shared" si="9"/>
        <v>15</v>
      </c>
      <c r="Q48" s="584"/>
      <c r="R48" s="559"/>
      <c r="S48" s="560"/>
      <c r="T48" s="559">
        <v>1</v>
      </c>
      <c r="U48" s="560"/>
      <c r="V48" s="559">
        <v>2</v>
      </c>
      <c r="W48" s="560"/>
      <c r="X48" s="564">
        <f t="shared" si="10"/>
        <v>15</v>
      </c>
      <c r="Y48" s="565"/>
      <c r="Z48" s="587">
        <f ca="1">SUMIF(CBGV!$H$4:$O$70,"Địa lí",CBGV!$O$4:$O$70)</f>
        <v>3</v>
      </c>
      <c r="AA48" s="587"/>
      <c r="AB48" s="562">
        <f ca="1">SUMIF(CBGV!$H$4:$O$70,"Địa lí",CBGV!$O$4:$O$70)</f>
        <v>3</v>
      </c>
      <c r="AC48" s="562"/>
      <c r="AD48" s="592">
        <v>3</v>
      </c>
      <c r="AE48" s="593"/>
      <c r="AF48" s="557">
        <f t="shared" si="18"/>
        <v>3</v>
      </c>
      <c r="AG48" s="557"/>
      <c r="AH48" s="586">
        <v>3</v>
      </c>
      <c r="AI48" s="586"/>
      <c r="AJ48" s="576">
        <f t="shared" si="19"/>
        <v>3</v>
      </c>
      <c r="AK48" s="577"/>
      <c r="AL48" s="594">
        <f>O37</f>
        <v>39</v>
      </c>
      <c r="AM48" s="594"/>
      <c r="AN48" s="576">
        <f>AH37</f>
        <v>39</v>
      </c>
      <c r="AO48" s="577"/>
      <c r="AP48" s="585">
        <f>(10*8)/35</f>
        <v>2.2857142857142856</v>
      </c>
      <c r="AQ48" s="585"/>
      <c r="AR48" s="596">
        <f>(10*10)/35</f>
        <v>2.8571428571428572</v>
      </c>
      <c r="AS48" s="596"/>
      <c r="AT48" s="599">
        <f>(10*10)/35</f>
        <v>2.8571428571428572</v>
      </c>
      <c r="AU48" s="600"/>
      <c r="AV48" s="518">
        <f t="shared" ca="1" si="11"/>
        <v>68</v>
      </c>
      <c r="AW48" s="519"/>
      <c r="AX48" s="551">
        <f t="shared" ca="1" si="12"/>
        <v>68</v>
      </c>
      <c r="AY48" s="552"/>
      <c r="AZ48" s="518">
        <f t="shared" ca="1" si="13"/>
        <v>17</v>
      </c>
      <c r="BA48" s="519"/>
      <c r="BB48" s="520">
        <f t="shared" ca="1" si="14"/>
        <v>17</v>
      </c>
      <c r="BC48" s="521"/>
      <c r="BD48" s="522">
        <f t="shared" ca="1" si="15"/>
        <v>17</v>
      </c>
      <c r="BE48" s="523"/>
      <c r="BF48" s="520">
        <f t="shared" ca="1" si="16"/>
        <v>0</v>
      </c>
      <c r="BG48" s="524"/>
      <c r="BH48" s="525"/>
      <c r="BI48" s="37">
        <f t="shared" ca="1" si="17"/>
        <v>0</v>
      </c>
    </row>
    <row r="49" spans="1:61" x14ac:dyDescent="0.2">
      <c r="A49" s="180">
        <v>9</v>
      </c>
      <c r="B49" s="604" t="s">
        <v>111</v>
      </c>
      <c r="C49" s="604"/>
      <c r="D49" s="573">
        <v>6</v>
      </c>
      <c r="E49" s="573"/>
      <c r="F49" s="601">
        <v>6</v>
      </c>
      <c r="G49" s="601"/>
      <c r="H49" s="594">
        <v>6</v>
      </c>
      <c r="I49" s="594"/>
      <c r="J49" s="566">
        <v>1</v>
      </c>
      <c r="K49" s="567"/>
      <c r="L49" s="566">
        <v>2</v>
      </c>
      <c r="M49" s="567"/>
      <c r="N49" s="566"/>
      <c r="O49" s="567"/>
      <c r="P49" s="583">
        <f t="shared" si="9"/>
        <v>15</v>
      </c>
      <c r="Q49" s="584"/>
      <c r="R49" s="559">
        <v>1</v>
      </c>
      <c r="S49" s="560"/>
      <c r="T49" s="559">
        <v>2</v>
      </c>
      <c r="U49" s="560"/>
      <c r="V49" s="559"/>
      <c r="W49" s="560"/>
      <c r="X49" s="564">
        <f t="shared" si="10"/>
        <v>15</v>
      </c>
      <c r="Y49" s="565"/>
      <c r="Z49" s="587">
        <f ca="1">SUMIF(CBGV!$H$4:$O$70,"Anh văn",CBGV!$O$4:$O$70)</f>
        <v>3</v>
      </c>
      <c r="AA49" s="587"/>
      <c r="AB49" s="562">
        <f ca="1">SUMIF(CBGV!$H$4:$O$70,"Anh văn",CBGV!$O$4:$O$70)</f>
        <v>3</v>
      </c>
      <c r="AC49" s="562"/>
      <c r="AD49" s="592">
        <v>0</v>
      </c>
      <c r="AE49" s="593"/>
      <c r="AF49" s="557">
        <f t="shared" si="18"/>
        <v>0</v>
      </c>
      <c r="AG49" s="557"/>
      <c r="AH49" s="586">
        <v>0</v>
      </c>
      <c r="AI49" s="586"/>
      <c r="AJ49" s="576">
        <f t="shared" si="19"/>
        <v>0</v>
      </c>
      <c r="AK49" s="577"/>
      <c r="AL49" s="594">
        <f>F37</f>
        <v>84</v>
      </c>
      <c r="AM49" s="594"/>
      <c r="AN49" s="576">
        <f>Y37</f>
        <v>84</v>
      </c>
      <c r="AO49" s="577"/>
      <c r="AP49" s="578"/>
      <c r="AQ49" s="578"/>
      <c r="AR49" s="595"/>
      <c r="AS49" s="595"/>
      <c r="AT49" s="597"/>
      <c r="AU49" s="598"/>
      <c r="AV49" s="518">
        <f t="shared" ca="1" si="11"/>
        <v>102</v>
      </c>
      <c r="AW49" s="519"/>
      <c r="AX49" s="551">
        <f t="shared" ca="1" si="12"/>
        <v>102</v>
      </c>
      <c r="AY49" s="552"/>
      <c r="AZ49" s="518">
        <f t="shared" ca="1" si="13"/>
        <v>17</v>
      </c>
      <c r="BA49" s="519"/>
      <c r="BB49" s="520">
        <f t="shared" ca="1" si="14"/>
        <v>17</v>
      </c>
      <c r="BC49" s="521"/>
      <c r="BD49" s="522">
        <f t="shared" ca="1" si="15"/>
        <v>17</v>
      </c>
      <c r="BE49" s="523"/>
      <c r="BF49" s="520">
        <f t="shared" ca="1" si="16"/>
        <v>0</v>
      </c>
      <c r="BG49" s="524"/>
      <c r="BH49" s="525"/>
      <c r="BI49" s="37">
        <f t="shared" ca="1" si="17"/>
        <v>0</v>
      </c>
    </row>
    <row r="50" spans="1:61" x14ac:dyDescent="0.2">
      <c r="A50" s="180">
        <v>10</v>
      </c>
      <c r="B50" s="604" t="s">
        <v>4</v>
      </c>
      <c r="C50" s="604"/>
      <c r="D50" s="605">
        <v>6</v>
      </c>
      <c r="E50" s="605"/>
      <c r="F50" s="601">
        <v>6</v>
      </c>
      <c r="G50" s="601"/>
      <c r="H50" s="594">
        <v>6</v>
      </c>
      <c r="I50" s="594"/>
      <c r="J50" s="566">
        <v>1</v>
      </c>
      <c r="K50" s="567"/>
      <c r="L50" s="566"/>
      <c r="M50" s="567"/>
      <c r="N50" s="566"/>
      <c r="O50" s="567"/>
      <c r="P50" s="583">
        <f t="shared" si="9"/>
        <v>5</v>
      </c>
      <c r="Q50" s="584"/>
      <c r="R50" s="559">
        <v>1</v>
      </c>
      <c r="S50" s="560"/>
      <c r="T50" s="559"/>
      <c r="U50" s="560"/>
      <c r="V50" s="559"/>
      <c r="W50" s="560"/>
      <c r="X50" s="564">
        <f t="shared" si="10"/>
        <v>5</v>
      </c>
      <c r="Y50" s="565"/>
      <c r="Z50" s="587">
        <f ca="1">SUMIF(CBGV!$H$4:$O$70,"TD-QP",CBGV!$O$4:$O$70)</f>
        <v>11.5</v>
      </c>
      <c r="AA50" s="587"/>
      <c r="AB50" s="562">
        <f ca="1">SUMIF(CBGV!$H$4:$O$70,"TD-QP",CBGV!$O$4:$O$70)</f>
        <v>11.5</v>
      </c>
      <c r="AC50" s="562"/>
      <c r="AD50" s="603">
        <v>1</v>
      </c>
      <c r="AE50" s="603"/>
      <c r="AF50" s="557">
        <f t="shared" si="18"/>
        <v>1</v>
      </c>
      <c r="AG50" s="557"/>
      <c r="AH50" s="586">
        <v>1</v>
      </c>
      <c r="AI50" s="586"/>
      <c r="AJ50" s="576">
        <f t="shared" si="19"/>
        <v>1</v>
      </c>
      <c r="AK50" s="577"/>
      <c r="AL50" s="594">
        <f>G37+H37</f>
        <v>84</v>
      </c>
      <c r="AM50" s="594"/>
      <c r="AN50" s="576">
        <f>Z37+AA37</f>
        <v>84</v>
      </c>
      <c r="AO50" s="577"/>
      <c r="AP50" s="578"/>
      <c r="AQ50" s="578"/>
      <c r="AR50" s="595"/>
      <c r="AS50" s="595"/>
      <c r="AT50" s="597"/>
      <c r="AU50" s="598"/>
      <c r="AV50" s="518">
        <f t="shared" ca="1" si="11"/>
        <v>101.5</v>
      </c>
      <c r="AW50" s="519"/>
      <c r="AX50" s="551">
        <f t="shared" ca="1" si="12"/>
        <v>101.5</v>
      </c>
      <c r="AY50" s="552"/>
      <c r="AZ50" s="518">
        <f t="shared" ca="1" si="13"/>
        <v>16.916666666666668</v>
      </c>
      <c r="BA50" s="519"/>
      <c r="BB50" s="520">
        <f t="shared" ca="1" si="14"/>
        <v>16.916666666666668</v>
      </c>
      <c r="BC50" s="521"/>
      <c r="BD50" s="522">
        <f t="shared" ca="1" si="15"/>
        <v>16.916666666666668</v>
      </c>
      <c r="BE50" s="523"/>
      <c r="BF50" s="520">
        <f t="shared" ca="1" si="16"/>
        <v>-0.49999999999999289</v>
      </c>
      <c r="BG50" s="524"/>
      <c r="BH50" s="525"/>
      <c r="BI50" s="37">
        <f t="shared" ca="1" si="17"/>
        <v>-17.499999999999751</v>
      </c>
    </row>
    <row r="51" spans="1:61" x14ac:dyDescent="0.2">
      <c r="A51" s="589" t="s">
        <v>324</v>
      </c>
      <c r="B51" s="590"/>
      <c r="C51" s="591"/>
      <c r="D51" s="543">
        <f>SUM(D41:E50)</f>
        <v>59</v>
      </c>
      <c r="E51" s="543"/>
      <c r="F51" s="543">
        <f>SUM(F41:G50)</f>
        <v>59</v>
      </c>
      <c r="G51" s="543"/>
      <c r="H51" s="543">
        <f>SUM(H41:I50)</f>
        <v>59</v>
      </c>
      <c r="I51" s="543"/>
      <c r="J51" s="543">
        <f>SUM(J41:K50)</f>
        <v>8</v>
      </c>
      <c r="K51" s="543"/>
      <c r="L51" s="543">
        <f>SUM(L41:M50)</f>
        <v>10</v>
      </c>
      <c r="M51" s="543"/>
      <c r="N51" s="543">
        <f>SUM(N41:O50)</f>
        <v>10</v>
      </c>
      <c r="O51" s="543"/>
      <c r="P51" s="543">
        <f>SUM(P41:Q50)</f>
        <v>140</v>
      </c>
      <c r="Q51" s="543"/>
      <c r="R51" s="543">
        <f>SUM(R41:S50)</f>
        <v>8</v>
      </c>
      <c r="S51" s="543"/>
      <c r="T51" s="543">
        <f>SUM(T41:U50)</f>
        <v>10</v>
      </c>
      <c r="U51" s="543"/>
      <c r="V51" s="543">
        <f>SUM(V41:W50)</f>
        <v>10</v>
      </c>
      <c r="W51" s="543"/>
      <c r="X51" s="543">
        <f>SUM(X41:Y50)</f>
        <v>140</v>
      </c>
      <c r="Y51" s="543"/>
      <c r="Z51" s="543">
        <f ca="1">SUM(Z41:AA50)</f>
        <v>113</v>
      </c>
      <c r="AA51" s="543"/>
      <c r="AB51" s="543">
        <f ca="1">SUM(AB41:AC50)</f>
        <v>113</v>
      </c>
      <c r="AC51" s="543"/>
      <c r="AD51" s="543">
        <f>SUM(AD41:AE50)</f>
        <v>28</v>
      </c>
      <c r="AE51" s="543"/>
      <c r="AF51" s="543">
        <f>SUM(AF41:AG50)</f>
        <v>28</v>
      </c>
      <c r="AG51" s="543"/>
      <c r="AH51" s="543">
        <f>SUM(AH41:AI50)</f>
        <v>28</v>
      </c>
      <c r="AI51" s="543"/>
      <c r="AJ51" s="543">
        <f>SUM(AJ41:AK50)</f>
        <v>28</v>
      </c>
      <c r="AK51" s="543"/>
      <c r="AL51" s="543">
        <f>SUM(AL41:AM50)</f>
        <v>690</v>
      </c>
      <c r="AM51" s="543"/>
      <c r="AN51" s="543">
        <f>SUM(AN41:AO50)</f>
        <v>682</v>
      </c>
      <c r="AO51" s="543"/>
      <c r="AP51" s="588">
        <f>SUM(AP41:AQ50)</f>
        <v>7.9999999999999991</v>
      </c>
      <c r="AQ51" s="588"/>
      <c r="AR51" s="542">
        <f>SUM(AR41:AS50)</f>
        <v>10</v>
      </c>
      <c r="AS51" s="543"/>
      <c r="AT51" s="542">
        <f>SUM(AT41:AU50)</f>
        <v>10</v>
      </c>
      <c r="AU51" s="543"/>
      <c r="AV51" s="542">
        <f t="shared" ref="AV51" ca="1" si="21">SUM(AV41:AW50)</f>
        <v>999</v>
      </c>
      <c r="AW51" s="543"/>
      <c r="AX51" s="542">
        <f t="shared" ref="AX51" ca="1" si="22">SUM(AX41:AY50)</f>
        <v>991</v>
      </c>
      <c r="AY51" s="543"/>
      <c r="AZ51" s="542">
        <f t="shared" ref="AZ51" ca="1" si="23">SUM(AZ41:BA50)</f>
        <v>169.7222222222222</v>
      </c>
      <c r="BA51" s="543"/>
      <c r="BB51" s="542">
        <f t="shared" ref="BB51" ca="1" si="24">SUM(BB41:BC50)</f>
        <v>167.7222222222222</v>
      </c>
      <c r="BC51" s="543"/>
      <c r="BD51" s="542">
        <f t="shared" ref="BD51" ca="1" si="25">SUM(BD41:BE50)</f>
        <v>168.75079365079364</v>
      </c>
      <c r="BE51" s="543"/>
      <c r="BF51" s="544">
        <f ca="1">SUM(BF41:BH50)</f>
        <v>-7.8857142857142648</v>
      </c>
      <c r="BG51" s="545"/>
      <c r="BH51" s="546"/>
    </row>
    <row r="52" spans="1:61" ht="13.5" hidden="1" customHeight="1" x14ac:dyDescent="0.2">
      <c r="A52" s="632" t="s">
        <v>384</v>
      </c>
      <c r="B52" s="632"/>
      <c r="C52" s="632"/>
      <c r="D52" s="632"/>
      <c r="E52" s="632"/>
      <c r="F52" s="632"/>
      <c r="G52" s="632"/>
      <c r="H52" s="632"/>
      <c r="I52" s="632"/>
      <c r="J52" s="632"/>
      <c r="K52" s="632"/>
      <c r="L52" s="632"/>
      <c r="M52" s="632"/>
      <c r="N52" s="632"/>
      <c r="O52" s="632"/>
      <c r="P52" s="632"/>
      <c r="Q52" s="632"/>
      <c r="R52" s="632"/>
      <c r="S52" s="632"/>
      <c r="T52" s="632"/>
      <c r="U52" s="632"/>
      <c r="V52" s="632"/>
      <c r="W52" s="632"/>
      <c r="X52" s="632"/>
      <c r="Y52" s="632"/>
      <c r="Z52" s="632"/>
      <c r="AA52" s="632"/>
      <c r="AB52" s="632"/>
      <c r="AC52" s="632"/>
      <c r="AD52" s="632"/>
      <c r="AE52" s="632"/>
      <c r="AF52" s="632"/>
      <c r="AG52" s="632"/>
      <c r="AH52" s="632"/>
      <c r="AI52" s="632"/>
      <c r="AJ52" s="632"/>
      <c r="AK52" s="632"/>
      <c r="AL52" s="632"/>
      <c r="AM52" s="632"/>
      <c r="AN52" s="632"/>
      <c r="AO52" s="632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629"/>
      <c r="BG52" s="629"/>
      <c r="BH52" s="629"/>
    </row>
    <row r="53" spans="1:61" s="220" customFormat="1" ht="13.5" hidden="1" customHeight="1" x14ac:dyDescent="0.25">
      <c r="B53" s="221" t="s">
        <v>399</v>
      </c>
      <c r="Z53" s="631"/>
      <c r="AA53" s="631"/>
      <c r="AQ53" s="630"/>
      <c r="AR53" s="630"/>
    </row>
    <row r="54" spans="1:61" s="220" customFormat="1" ht="13.5" hidden="1" customHeight="1" x14ac:dyDescent="0.25">
      <c r="A54" s="609" t="s">
        <v>401</v>
      </c>
      <c r="B54" s="610"/>
      <c r="C54" s="610"/>
      <c r="D54" s="610"/>
      <c r="E54" s="610"/>
      <c r="F54" s="610"/>
      <c r="G54" s="610"/>
      <c r="H54" s="610"/>
      <c r="I54" s="610"/>
      <c r="J54" s="610"/>
      <c r="K54" s="610"/>
      <c r="L54" s="610"/>
      <c r="M54" s="610"/>
      <c r="N54" s="611"/>
      <c r="O54" s="616">
        <f>E37*18+X37*17</f>
        <v>3920</v>
      </c>
      <c r="P54" s="616"/>
      <c r="Q54" s="616"/>
      <c r="R54" s="616"/>
      <c r="S54" s="616"/>
      <c r="T54" s="616" t="s">
        <v>184</v>
      </c>
      <c r="U54" s="616"/>
      <c r="V54" s="616"/>
      <c r="W54" s="616"/>
      <c r="X54" s="609" t="s">
        <v>386</v>
      </c>
      <c r="Y54" s="610"/>
      <c r="Z54" s="610"/>
      <c r="AA54" s="610"/>
      <c r="AB54" s="610"/>
      <c r="AC54" s="610"/>
      <c r="AD54" s="610"/>
      <c r="AE54" s="610"/>
      <c r="AF54" s="610"/>
      <c r="AG54" s="610"/>
      <c r="AH54" s="610"/>
      <c r="AI54" s="610"/>
      <c r="AJ54" s="610"/>
      <c r="AK54" s="610"/>
      <c r="AL54" s="611"/>
      <c r="AM54" s="616">
        <f>(D41*17-16)*35</f>
        <v>6580</v>
      </c>
      <c r="AN54" s="616"/>
      <c r="AO54" s="616"/>
      <c r="AP54" s="513"/>
      <c r="AQ54" s="514"/>
      <c r="AR54" s="514"/>
      <c r="AS54" s="514"/>
      <c r="AT54" s="514"/>
      <c r="AU54" s="514"/>
      <c r="AV54" s="514"/>
      <c r="AW54" s="514"/>
      <c r="AX54" s="514"/>
      <c r="AY54" s="514"/>
      <c r="AZ54" s="514"/>
      <c r="BA54" s="514"/>
      <c r="BB54" s="514"/>
      <c r="BC54" s="514"/>
      <c r="BD54" s="514"/>
      <c r="BE54" s="514"/>
      <c r="BF54" s="514"/>
      <c r="BG54" s="514"/>
      <c r="BH54" s="514"/>
    </row>
    <row r="55" spans="1:61" s="220" customFormat="1" ht="13.5" hidden="1" customHeight="1" x14ac:dyDescent="0.25">
      <c r="A55" s="609" t="s">
        <v>402</v>
      </c>
      <c r="B55" s="610"/>
      <c r="C55" s="610"/>
      <c r="D55" s="610"/>
      <c r="E55" s="610"/>
      <c r="F55" s="610"/>
      <c r="G55" s="610"/>
      <c r="H55" s="610"/>
      <c r="I55" s="610"/>
      <c r="J55" s="610"/>
      <c r="K55" s="610"/>
      <c r="L55" s="610"/>
      <c r="M55" s="610"/>
      <c r="N55" s="611"/>
      <c r="O55" s="616">
        <f>Q37*18+AJ37*17</f>
        <v>1470</v>
      </c>
      <c r="P55" s="616"/>
      <c r="Q55" s="616"/>
      <c r="R55" s="616"/>
      <c r="S55" s="616"/>
      <c r="T55" s="616">
        <f>SUM(O54:S56)</f>
        <v>6742</v>
      </c>
      <c r="U55" s="616"/>
      <c r="V55" s="616"/>
      <c r="W55" s="616"/>
      <c r="X55" s="609" t="s">
        <v>388</v>
      </c>
      <c r="Y55" s="610"/>
      <c r="Z55" s="610"/>
      <c r="AA55" s="610"/>
      <c r="AB55" s="610"/>
      <c r="AC55" s="610"/>
      <c r="AD55" s="610"/>
      <c r="AE55" s="610"/>
      <c r="AF55" s="610"/>
      <c r="AG55" s="610"/>
      <c r="AH55" s="610"/>
      <c r="AI55" s="610"/>
      <c r="AJ55" s="610"/>
      <c r="AK55" s="610"/>
      <c r="AL55" s="611"/>
      <c r="AM55" s="616">
        <f>T55-AM54</f>
        <v>162</v>
      </c>
      <c r="AN55" s="616"/>
      <c r="AO55" s="616"/>
      <c r="AP55" s="515"/>
      <c r="AQ55" s="514"/>
      <c r="AR55" s="514"/>
      <c r="AS55" s="514"/>
      <c r="AT55" s="514"/>
      <c r="AU55" s="514"/>
      <c r="AV55" s="514"/>
      <c r="AW55" s="514"/>
      <c r="AX55" s="514"/>
      <c r="AY55" s="514"/>
      <c r="AZ55" s="514"/>
      <c r="BA55" s="514"/>
      <c r="BB55" s="514"/>
      <c r="BC55" s="514"/>
      <c r="BD55" s="514"/>
      <c r="BE55" s="514"/>
      <c r="BF55" s="514"/>
      <c r="BG55" s="514"/>
      <c r="BH55" s="514"/>
    </row>
    <row r="56" spans="1:61" s="220" customFormat="1" ht="13.5" hidden="1" customHeight="1" x14ac:dyDescent="0.25">
      <c r="A56" s="609" t="s">
        <v>385</v>
      </c>
      <c r="B56" s="610"/>
      <c r="C56" s="610"/>
      <c r="D56" s="610"/>
      <c r="E56" s="610"/>
      <c r="F56" s="610"/>
      <c r="G56" s="610"/>
      <c r="H56" s="610"/>
      <c r="I56" s="610"/>
      <c r="J56" s="610"/>
      <c r="K56" s="610"/>
      <c r="L56" s="610"/>
      <c r="M56" s="610"/>
      <c r="N56" s="611"/>
      <c r="O56" s="616">
        <f>P41*18+X41*18+AF41*17+AJ41*17</f>
        <v>1352</v>
      </c>
      <c r="P56" s="616"/>
      <c r="Q56" s="616"/>
      <c r="R56" s="616"/>
      <c r="S56" s="616"/>
      <c r="T56" s="616"/>
      <c r="U56" s="616"/>
      <c r="V56" s="616"/>
      <c r="W56" s="616"/>
      <c r="X56" s="617" t="s">
        <v>397</v>
      </c>
      <c r="Y56" s="618"/>
      <c r="Z56" s="618"/>
      <c r="AA56" s="618"/>
      <c r="AB56" s="618"/>
      <c r="AC56" s="618"/>
      <c r="AD56" s="618"/>
      <c r="AE56" s="618"/>
      <c r="AF56" s="618"/>
      <c r="AG56" s="618"/>
      <c r="AH56" s="618"/>
      <c r="AI56" s="618"/>
      <c r="AJ56" s="618"/>
      <c r="AK56" s="618"/>
      <c r="AL56" s="619"/>
      <c r="AM56" s="620">
        <f>AM55/35</f>
        <v>4.628571428571429</v>
      </c>
      <c r="AN56" s="621"/>
      <c r="AO56" s="622"/>
      <c r="AP56" s="515"/>
      <c r="AQ56" s="514"/>
      <c r="AR56" s="514"/>
      <c r="AS56" s="514"/>
      <c r="AT56" s="514"/>
      <c r="AU56" s="514"/>
      <c r="AV56" s="514"/>
      <c r="AW56" s="514"/>
      <c r="AX56" s="514"/>
      <c r="AY56" s="514"/>
      <c r="AZ56" s="514"/>
      <c r="BA56" s="514"/>
      <c r="BB56" s="514"/>
      <c r="BC56" s="514"/>
      <c r="BD56" s="514"/>
      <c r="BE56" s="514"/>
      <c r="BF56" s="514"/>
      <c r="BG56" s="514"/>
      <c r="BH56" s="514"/>
    </row>
    <row r="57" spans="1:61" s="220" customFormat="1" ht="13.5" hidden="1" customHeight="1" x14ac:dyDescent="0.25">
      <c r="A57" s="222"/>
      <c r="B57" s="223" t="s">
        <v>387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</row>
    <row r="58" spans="1:61" s="220" customFormat="1" ht="13.5" hidden="1" customHeight="1" x14ac:dyDescent="0.25">
      <c r="A58" s="612" t="s">
        <v>403</v>
      </c>
      <c r="B58" s="613"/>
      <c r="C58" s="613"/>
      <c r="D58" s="613"/>
      <c r="E58" s="613"/>
      <c r="F58" s="613"/>
      <c r="G58" s="613"/>
      <c r="H58" s="613"/>
      <c r="I58" s="613"/>
      <c r="J58" s="613"/>
      <c r="K58" s="613"/>
      <c r="L58" s="613"/>
      <c r="M58" s="613"/>
      <c r="N58" s="614"/>
      <c r="O58" s="615">
        <f>D37*18+W37*17</f>
        <v>3115</v>
      </c>
      <c r="P58" s="615"/>
      <c r="Q58" s="615"/>
      <c r="R58" s="615"/>
      <c r="S58" s="615"/>
      <c r="T58" s="615" t="s">
        <v>184</v>
      </c>
      <c r="U58" s="615"/>
      <c r="V58" s="615"/>
      <c r="W58" s="615"/>
      <c r="X58" s="612" t="s">
        <v>386</v>
      </c>
      <c r="Y58" s="613"/>
      <c r="Z58" s="613"/>
      <c r="AA58" s="613"/>
      <c r="AB58" s="613"/>
      <c r="AC58" s="613"/>
      <c r="AD58" s="613"/>
      <c r="AE58" s="613"/>
      <c r="AF58" s="613"/>
      <c r="AG58" s="613"/>
      <c r="AH58" s="613"/>
      <c r="AI58" s="613"/>
      <c r="AJ58" s="613"/>
      <c r="AK58" s="613"/>
      <c r="AL58" s="614"/>
      <c r="AM58" s="615">
        <f ca="1">D45*17*35-(Z45*35)</f>
        <v>4235</v>
      </c>
      <c r="AN58" s="615"/>
      <c r="AO58" s="615"/>
      <c r="AP58" s="515"/>
      <c r="AQ58" s="514"/>
      <c r="AR58" s="514"/>
      <c r="AS58" s="514"/>
      <c r="AT58" s="514"/>
      <c r="AU58" s="514"/>
      <c r="AV58" s="514"/>
      <c r="AW58" s="514"/>
      <c r="AX58" s="514"/>
      <c r="AY58" s="514"/>
      <c r="AZ58" s="514"/>
      <c r="BA58" s="514"/>
      <c r="BB58" s="514"/>
      <c r="BC58" s="514"/>
      <c r="BD58" s="514"/>
      <c r="BE58" s="514"/>
      <c r="BF58" s="514"/>
      <c r="BG58" s="514"/>
      <c r="BH58" s="514"/>
    </row>
    <row r="59" spans="1:61" s="220" customFormat="1" ht="13.5" hidden="1" customHeight="1" x14ac:dyDescent="0.25">
      <c r="A59" s="612" t="s">
        <v>404</v>
      </c>
      <c r="B59" s="613"/>
      <c r="C59" s="613"/>
      <c r="D59" s="613"/>
      <c r="E59" s="613"/>
      <c r="F59" s="613"/>
      <c r="G59" s="613"/>
      <c r="H59" s="613"/>
      <c r="I59" s="613"/>
      <c r="J59" s="613"/>
      <c r="K59" s="613"/>
      <c r="L59" s="613"/>
      <c r="M59" s="613"/>
      <c r="N59" s="614"/>
      <c r="O59" s="615">
        <f>9*28</f>
        <v>252</v>
      </c>
      <c r="P59" s="615"/>
      <c r="Q59" s="615"/>
      <c r="R59" s="615"/>
      <c r="S59" s="615"/>
      <c r="T59" s="615">
        <f>SUM(O58:S60)</f>
        <v>4067</v>
      </c>
      <c r="U59" s="615"/>
      <c r="V59" s="615"/>
      <c r="W59" s="615"/>
      <c r="X59" s="612" t="s">
        <v>388</v>
      </c>
      <c r="Y59" s="613"/>
      <c r="Z59" s="613"/>
      <c r="AA59" s="613"/>
      <c r="AB59" s="613"/>
      <c r="AC59" s="613"/>
      <c r="AD59" s="613"/>
      <c r="AE59" s="613"/>
      <c r="AF59" s="613"/>
      <c r="AG59" s="613"/>
      <c r="AH59" s="613"/>
      <c r="AI59" s="613"/>
      <c r="AJ59" s="613"/>
      <c r="AK59" s="613"/>
      <c r="AL59" s="614"/>
      <c r="AM59" s="615">
        <f ca="1">T59-AM58</f>
        <v>-168</v>
      </c>
      <c r="AN59" s="615"/>
      <c r="AO59" s="615"/>
      <c r="AP59" s="515"/>
      <c r="AQ59" s="514"/>
      <c r="AR59" s="514"/>
      <c r="AS59" s="514"/>
      <c r="AT59" s="514"/>
      <c r="AU59" s="514"/>
      <c r="AV59" s="514"/>
      <c r="AW59" s="514"/>
      <c r="AX59" s="514"/>
      <c r="AY59" s="514"/>
      <c r="AZ59" s="514"/>
      <c r="BA59" s="514"/>
      <c r="BB59" s="514"/>
      <c r="BC59" s="514"/>
      <c r="BD59" s="514"/>
      <c r="BE59" s="514"/>
      <c r="BF59" s="514"/>
      <c r="BG59" s="514"/>
      <c r="BH59" s="514"/>
    </row>
    <row r="60" spans="1:61" s="220" customFormat="1" ht="13.5" hidden="1" customHeight="1" x14ac:dyDescent="0.25">
      <c r="A60" s="612" t="s">
        <v>385</v>
      </c>
      <c r="B60" s="613"/>
      <c r="C60" s="613"/>
      <c r="D60" s="613"/>
      <c r="E60" s="613"/>
      <c r="F60" s="613"/>
      <c r="G60" s="613"/>
      <c r="H60" s="613"/>
      <c r="I60" s="613"/>
      <c r="J60" s="613"/>
      <c r="K60" s="613"/>
      <c r="L60" s="613"/>
      <c r="M60" s="613"/>
      <c r="N60" s="614"/>
      <c r="O60" s="615">
        <f>P45*18+X45*17+AF45*18+AJ45*17</f>
        <v>700</v>
      </c>
      <c r="P60" s="615"/>
      <c r="Q60" s="615"/>
      <c r="R60" s="615"/>
      <c r="S60" s="615"/>
      <c r="T60" s="615"/>
      <c r="U60" s="615"/>
      <c r="V60" s="615"/>
      <c r="W60" s="615"/>
      <c r="X60" s="617" t="s">
        <v>397</v>
      </c>
      <c r="Y60" s="618"/>
      <c r="Z60" s="618"/>
      <c r="AA60" s="618"/>
      <c r="AB60" s="618"/>
      <c r="AC60" s="618"/>
      <c r="AD60" s="618"/>
      <c r="AE60" s="618"/>
      <c r="AF60" s="618"/>
      <c r="AG60" s="618"/>
      <c r="AH60" s="618"/>
      <c r="AI60" s="618"/>
      <c r="AJ60" s="618"/>
      <c r="AK60" s="618"/>
      <c r="AL60" s="619"/>
      <c r="AM60" s="623">
        <f ca="1">AM59/35</f>
        <v>-4.8</v>
      </c>
      <c r="AN60" s="624"/>
      <c r="AO60" s="625"/>
      <c r="AP60" s="515"/>
      <c r="AQ60" s="514"/>
      <c r="AR60" s="514"/>
      <c r="AS60" s="514"/>
      <c r="AT60" s="514"/>
      <c r="AU60" s="514"/>
      <c r="AV60" s="514"/>
      <c r="AW60" s="514"/>
      <c r="AX60" s="514"/>
      <c r="AY60" s="514"/>
      <c r="AZ60" s="514"/>
      <c r="BA60" s="514"/>
      <c r="BB60" s="514"/>
      <c r="BC60" s="514"/>
      <c r="BD60" s="514"/>
      <c r="BE60" s="514"/>
      <c r="BF60" s="514"/>
      <c r="BG60" s="514"/>
      <c r="BH60" s="514"/>
    </row>
    <row r="61" spans="1:61" s="220" customFormat="1" ht="13.5" hidden="1" customHeight="1" x14ac:dyDescent="0.25">
      <c r="A61" s="224"/>
      <c r="B61" s="221" t="s">
        <v>400</v>
      </c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5"/>
      <c r="AQ61" s="225"/>
      <c r="AR61" s="225"/>
      <c r="AS61" s="225"/>
      <c r="AT61" s="225"/>
      <c r="AU61" s="225"/>
      <c r="AV61" s="225"/>
      <c r="AW61" s="225"/>
      <c r="AX61" s="225"/>
      <c r="AY61" s="225"/>
      <c r="AZ61" s="225"/>
      <c r="BA61" s="225"/>
      <c r="BB61" s="225"/>
      <c r="BC61" s="225"/>
      <c r="BD61" s="225"/>
      <c r="BE61" s="225"/>
      <c r="BF61" s="225"/>
      <c r="BG61" s="225"/>
      <c r="BH61" s="225"/>
    </row>
    <row r="62" spans="1:61" s="220" customFormat="1" ht="13.5" hidden="1" customHeight="1" x14ac:dyDescent="0.25">
      <c r="A62" s="609" t="s">
        <v>405</v>
      </c>
      <c r="B62" s="610"/>
      <c r="C62" s="610"/>
      <c r="D62" s="610"/>
      <c r="E62" s="610"/>
      <c r="F62" s="610"/>
      <c r="G62" s="610"/>
      <c r="H62" s="610"/>
      <c r="I62" s="610"/>
      <c r="J62" s="610"/>
      <c r="K62" s="610"/>
      <c r="L62" s="610"/>
      <c r="M62" s="610"/>
      <c r="N62" s="611"/>
      <c r="O62" s="616">
        <f>L37*18+AE37*17</f>
        <v>1925</v>
      </c>
      <c r="P62" s="616"/>
      <c r="Q62" s="616"/>
      <c r="R62" s="616"/>
      <c r="S62" s="616"/>
      <c r="T62" s="616" t="s">
        <v>184</v>
      </c>
      <c r="U62" s="616"/>
      <c r="V62" s="616"/>
      <c r="W62" s="616"/>
      <c r="X62" s="609" t="s">
        <v>386</v>
      </c>
      <c r="Y62" s="610"/>
      <c r="Z62" s="610"/>
      <c r="AA62" s="610"/>
      <c r="AB62" s="610"/>
      <c r="AC62" s="610"/>
      <c r="AD62" s="610"/>
      <c r="AE62" s="610"/>
      <c r="AF62" s="610"/>
      <c r="AG62" s="610"/>
      <c r="AH62" s="610"/>
      <c r="AI62" s="610"/>
      <c r="AJ62" s="610"/>
      <c r="AK62" s="610"/>
      <c r="AL62" s="611"/>
      <c r="AM62" s="616">
        <f ca="1">D42*17*35-(AB42*35)</f>
        <v>3955</v>
      </c>
      <c r="AN62" s="616"/>
      <c r="AO62" s="616"/>
      <c r="AP62" s="515"/>
      <c r="AQ62" s="514"/>
      <c r="AR62" s="514"/>
      <c r="AS62" s="514"/>
      <c r="AT62" s="514"/>
      <c r="AU62" s="514"/>
      <c r="AV62" s="514"/>
      <c r="AW62" s="514"/>
      <c r="AX62" s="514"/>
      <c r="AY62" s="514"/>
      <c r="AZ62" s="514"/>
      <c r="BA62" s="514"/>
      <c r="BB62" s="514"/>
      <c r="BC62" s="514"/>
      <c r="BD62" s="514"/>
      <c r="BE62" s="514"/>
      <c r="BF62" s="514"/>
      <c r="BG62" s="514"/>
      <c r="BH62" s="514"/>
    </row>
    <row r="63" spans="1:61" s="220" customFormat="1" ht="13.5" hidden="1" customHeight="1" x14ac:dyDescent="0.25">
      <c r="A63" s="609" t="s">
        <v>406</v>
      </c>
      <c r="B63" s="610"/>
      <c r="C63" s="610"/>
      <c r="D63" s="610"/>
      <c r="E63" s="610"/>
      <c r="F63" s="610"/>
      <c r="G63" s="610"/>
      <c r="H63" s="610"/>
      <c r="I63" s="610"/>
      <c r="J63" s="610"/>
      <c r="K63" s="610"/>
      <c r="L63" s="610"/>
      <c r="M63" s="610"/>
      <c r="N63" s="611"/>
      <c r="O63" s="616">
        <f>R37*18+AK37*17</f>
        <v>1190</v>
      </c>
      <c r="P63" s="616"/>
      <c r="Q63" s="616"/>
      <c r="R63" s="616"/>
      <c r="S63" s="616"/>
      <c r="T63" s="616">
        <f>SUM(O62:S64)</f>
        <v>3955</v>
      </c>
      <c r="U63" s="616"/>
      <c r="V63" s="616"/>
      <c r="W63" s="616"/>
      <c r="X63" s="609" t="s">
        <v>388</v>
      </c>
      <c r="Y63" s="610"/>
      <c r="Z63" s="610"/>
      <c r="AA63" s="610"/>
      <c r="AB63" s="610"/>
      <c r="AC63" s="610"/>
      <c r="AD63" s="610"/>
      <c r="AE63" s="610"/>
      <c r="AF63" s="610"/>
      <c r="AG63" s="610"/>
      <c r="AH63" s="610"/>
      <c r="AI63" s="610"/>
      <c r="AJ63" s="610"/>
      <c r="AK63" s="610"/>
      <c r="AL63" s="611"/>
      <c r="AM63" s="616">
        <f ca="1">T63-AM62</f>
        <v>0</v>
      </c>
      <c r="AN63" s="616"/>
      <c r="AO63" s="616"/>
      <c r="AP63" s="515"/>
      <c r="AQ63" s="514"/>
      <c r="AR63" s="514"/>
      <c r="AS63" s="514"/>
      <c r="AT63" s="514"/>
      <c r="AU63" s="514"/>
      <c r="AV63" s="514"/>
      <c r="AW63" s="514"/>
      <c r="AX63" s="514"/>
      <c r="AY63" s="514"/>
      <c r="AZ63" s="514"/>
      <c r="BA63" s="514"/>
      <c r="BB63" s="514"/>
      <c r="BC63" s="514"/>
      <c r="BD63" s="514"/>
      <c r="BE63" s="514"/>
      <c r="BF63" s="514"/>
      <c r="BG63" s="514"/>
      <c r="BH63" s="514"/>
    </row>
    <row r="64" spans="1:61" s="220" customFormat="1" ht="13.5" hidden="1" customHeight="1" x14ac:dyDescent="0.25">
      <c r="A64" s="609" t="s">
        <v>385</v>
      </c>
      <c r="B64" s="610"/>
      <c r="C64" s="610"/>
      <c r="D64" s="610"/>
      <c r="E64" s="610"/>
      <c r="F64" s="610"/>
      <c r="G64" s="610"/>
      <c r="H64" s="610"/>
      <c r="I64" s="610"/>
      <c r="J64" s="610"/>
      <c r="K64" s="610"/>
      <c r="L64" s="610"/>
      <c r="M64" s="610"/>
      <c r="N64" s="611"/>
      <c r="O64" s="616">
        <f>P42*18+X42*17+AF42*18+AJ42*17</f>
        <v>840</v>
      </c>
      <c r="P64" s="616"/>
      <c r="Q64" s="616"/>
      <c r="R64" s="616"/>
      <c r="S64" s="616"/>
      <c r="T64" s="616"/>
      <c r="U64" s="616"/>
      <c r="V64" s="616"/>
      <c r="W64" s="616"/>
      <c r="X64" s="617" t="s">
        <v>398</v>
      </c>
      <c r="Y64" s="618"/>
      <c r="Z64" s="618"/>
      <c r="AA64" s="618"/>
      <c r="AB64" s="618"/>
      <c r="AC64" s="618"/>
      <c r="AD64" s="618"/>
      <c r="AE64" s="618"/>
      <c r="AF64" s="618"/>
      <c r="AG64" s="618"/>
      <c r="AH64" s="618"/>
      <c r="AI64" s="618"/>
      <c r="AJ64" s="618"/>
      <c r="AK64" s="618"/>
      <c r="AL64" s="619"/>
      <c r="AM64" s="626">
        <f ca="1">AM63/17</f>
        <v>0</v>
      </c>
      <c r="AN64" s="627"/>
      <c r="AO64" s="628"/>
      <c r="AP64" s="515"/>
      <c r="AQ64" s="514"/>
      <c r="AR64" s="514"/>
      <c r="AS64" s="514"/>
      <c r="AT64" s="514"/>
      <c r="AU64" s="514"/>
      <c r="AV64" s="514"/>
      <c r="AW64" s="514"/>
      <c r="AX64" s="514"/>
      <c r="AY64" s="514"/>
      <c r="AZ64" s="514"/>
      <c r="BA64" s="514"/>
      <c r="BB64" s="514"/>
      <c r="BC64" s="514"/>
      <c r="BD64" s="514"/>
      <c r="BE64" s="514"/>
      <c r="BF64" s="514"/>
      <c r="BG64" s="514"/>
      <c r="BH64" s="514"/>
    </row>
    <row r="65" spans="1:60" s="220" customFormat="1" ht="13.5" hidden="1" customHeight="1" x14ac:dyDescent="0.25">
      <c r="A65" s="222"/>
      <c r="B65" s="223" t="s">
        <v>390</v>
      </c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5"/>
      <c r="BA65" s="225"/>
      <c r="BB65" s="225"/>
      <c r="BC65" s="225"/>
      <c r="BD65" s="225"/>
      <c r="BE65" s="225"/>
      <c r="BF65" s="225"/>
      <c r="BG65" s="225"/>
      <c r="BH65" s="225"/>
    </row>
    <row r="66" spans="1:60" s="220" customFormat="1" ht="13.5" hidden="1" customHeight="1" x14ac:dyDescent="0.25">
      <c r="A66" s="612" t="s">
        <v>407</v>
      </c>
      <c r="B66" s="613"/>
      <c r="C66" s="613"/>
      <c r="D66" s="613"/>
      <c r="E66" s="613"/>
      <c r="F66" s="613"/>
      <c r="G66" s="613"/>
      <c r="H66" s="613"/>
      <c r="I66" s="613"/>
      <c r="J66" s="613"/>
      <c r="K66" s="613"/>
      <c r="L66" s="613"/>
      <c r="M66" s="613"/>
      <c r="N66" s="614"/>
      <c r="O66" s="615">
        <f>M37*18+AF37*17</f>
        <v>1680</v>
      </c>
      <c r="P66" s="615"/>
      <c r="Q66" s="615"/>
      <c r="R66" s="615"/>
      <c r="S66" s="615"/>
      <c r="T66" s="615" t="s">
        <v>184</v>
      </c>
      <c r="U66" s="615"/>
      <c r="V66" s="615"/>
      <c r="W66" s="615"/>
      <c r="X66" s="612" t="s">
        <v>386</v>
      </c>
      <c r="Y66" s="613"/>
      <c r="Z66" s="613"/>
      <c r="AA66" s="613"/>
      <c r="AB66" s="613"/>
      <c r="AC66" s="613"/>
      <c r="AD66" s="613"/>
      <c r="AE66" s="613"/>
      <c r="AF66" s="613"/>
      <c r="AG66" s="613"/>
      <c r="AH66" s="613"/>
      <c r="AI66" s="613"/>
      <c r="AJ66" s="613"/>
      <c r="AK66" s="613"/>
      <c r="AL66" s="614"/>
      <c r="AM66" s="615">
        <f>(D43*17-16)*35</f>
        <v>2415</v>
      </c>
      <c r="AN66" s="615"/>
      <c r="AO66" s="615"/>
      <c r="AP66" s="515"/>
      <c r="AQ66" s="514"/>
      <c r="AR66" s="514"/>
      <c r="AS66" s="514"/>
      <c r="AT66" s="514"/>
      <c r="AU66" s="514"/>
      <c r="AV66" s="514"/>
      <c r="AW66" s="514"/>
      <c r="AX66" s="514"/>
      <c r="AY66" s="514"/>
      <c r="AZ66" s="514"/>
      <c r="BA66" s="514"/>
      <c r="BB66" s="514"/>
      <c r="BC66" s="514"/>
      <c r="BD66" s="514"/>
      <c r="BE66" s="514"/>
      <c r="BF66" s="514"/>
      <c r="BG66" s="514"/>
      <c r="BH66" s="514"/>
    </row>
    <row r="67" spans="1:60" s="220" customFormat="1" ht="13.5" hidden="1" customHeight="1" x14ac:dyDescent="0.25">
      <c r="A67" s="612" t="s">
        <v>404</v>
      </c>
      <c r="B67" s="613"/>
      <c r="C67" s="613"/>
      <c r="D67" s="613"/>
      <c r="E67" s="613"/>
      <c r="F67" s="613"/>
      <c r="G67" s="613"/>
      <c r="H67" s="613"/>
      <c r="I67" s="613"/>
      <c r="J67" s="613"/>
      <c r="K67" s="613"/>
      <c r="L67" s="613"/>
      <c r="M67" s="613"/>
      <c r="N67" s="614"/>
      <c r="O67" s="615">
        <v>0</v>
      </c>
      <c r="P67" s="615"/>
      <c r="Q67" s="615"/>
      <c r="R67" s="615"/>
      <c r="S67" s="615"/>
      <c r="T67" s="615">
        <f>SUM(O66:S68)</f>
        <v>2141.75</v>
      </c>
      <c r="U67" s="615"/>
      <c r="V67" s="615"/>
      <c r="W67" s="615"/>
      <c r="X67" s="612" t="s">
        <v>388</v>
      </c>
      <c r="Y67" s="613"/>
      <c r="Z67" s="613"/>
      <c r="AA67" s="613"/>
      <c r="AB67" s="613"/>
      <c r="AC67" s="613"/>
      <c r="AD67" s="613"/>
      <c r="AE67" s="613"/>
      <c r="AF67" s="613"/>
      <c r="AG67" s="613"/>
      <c r="AH67" s="613"/>
      <c r="AI67" s="613"/>
      <c r="AJ67" s="613"/>
      <c r="AK67" s="613"/>
      <c r="AL67" s="614"/>
      <c r="AM67" s="615">
        <f>T67-AM66</f>
        <v>-273.25</v>
      </c>
      <c r="AN67" s="615"/>
      <c r="AO67" s="615"/>
      <c r="AP67" s="515"/>
      <c r="AQ67" s="514"/>
      <c r="AR67" s="514"/>
      <c r="AS67" s="514"/>
      <c r="AT67" s="514"/>
      <c r="AU67" s="514"/>
      <c r="AV67" s="514"/>
      <c r="AW67" s="514"/>
      <c r="AX67" s="514"/>
      <c r="AY67" s="514"/>
      <c r="AZ67" s="514"/>
      <c r="BA67" s="514"/>
      <c r="BB67" s="514"/>
      <c r="BC67" s="514"/>
      <c r="BD67" s="514"/>
      <c r="BE67" s="514"/>
      <c r="BF67" s="514"/>
      <c r="BG67" s="514"/>
      <c r="BH67" s="514"/>
    </row>
    <row r="68" spans="1:60" s="220" customFormat="1" ht="13.5" hidden="1" customHeight="1" x14ac:dyDescent="0.25">
      <c r="A68" s="612" t="s">
        <v>385</v>
      </c>
      <c r="B68" s="613"/>
      <c r="C68" s="613"/>
      <c r="D68" s="613"/>
      <c r="E68" s="613"/>
      <c r="F68" s="613"/>
      <c r="G68" s="613"/>
      <c r="H68" s="613"/>
      <c r="I68" s="613"/>
      <c r="J68" s="613"/>
      <c r="K68" s="613"/>
      <c r="L68" s="613"/>
      <c r="M68" s="613"/>
      <c r="N68" s="614"/>
      <c r="O68" s="615">
        <f>(L43*6+N43*4.75)*18+(R43*6+T43*4.75)*17</f>
        <v>461.75</v>
      </c>
      <c r="P68" s="615"/>
      <c r="Q68" s="615"/>
      <c r="R68" s="615"/>
      <c r="S68" s="615"/>
      <c r="T68" s="615"/>
      <c r="U68" s="615"/>
      <c r="V68" s="615"/>
      <c r="W68" s="615"/>
      <c r="X68" s="617" t="s">
        <v>397</v>
      </c>
      <c r="Y68" s="618"/>
      <c r="Z68" s="618"/>
      <c r="AA68" s="618"/>
      <c r="AB68" s="618"/>
      <c r="AC68" s="618"/>
      <c r="AD68" s="618"/>
      <c r="AE68" s="618"/>
      <c r="AF68" s="618"/>
      <c r="AG68" s="618"/>
      <c r="AH68" s="618"/>
      <c r="AI68" s="618"/>
      <c r="AJ68" s="618"/>
      <c r="AK68" s="618"/>
      <c r="AL68" s="619"/>
      <c r="AM68" s="623">
        <f>AM67/35</f>
        <v>-7.8071428571428569</v>
      </c>
      <c r="AN68" s="624"/>
      <c r="AO68" s="625"/>
      <c r="AP68" s="515"/>
      <c r="AQ68" s="514"/>
      <c r="AR68" s="514"/>
      <c r="AS68" s="514"/>
      <c r="AT68" s="514"/>
      <c r="AU68" s="514"/>
      <c r="AV68" s="514"/>
      <c r="AW68" s="514"/>
      <c r="AX68" s="514"/>
      <c r="AY68" s="514"/>
      <c r="AZ68" s="514"/>
      <c r="BA68" s="514"/>
      <c r="BB68" s="514"/>
      <c r="BC68" s="514"/>
      <c r="BD68" s="514"/>
      <c r="BE68" s="514"/>
      <c r="BF68" s="514"/>
      <c r="BG68" s="514"/>
      <c r="BH68" s="514"/>
    </row>
    <row r="69" spans="1:60" s="220" customFormat="1" ht="13.5" hidden="1" customHeight="1" x14ac:dyDescent="0.25">
      <c r="A69" s="224"/>
      <c r="B69" s="221" t="s">
        <v>389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5"/>
      <c r="AQ69" s="225"/>
      <c r="AR69" s="225"/>
      <c r="AS69" s="225"/>
      <c r="AT69" s="225"/>
      <c r="AU69" s="225"/>
      <c r="AV69" s="225"/>
      <c r="AW69" s="225"/>
      <c r="AX69" s="225"/>
      <c r="AY69" s="225"/>
      <c r="AZ69" s="225"/>
      <c r="BA69" s="225"/>
      <c r="BB69" s="225"/>
      <c r="BC69" s="225"/>
      <c r="BD69" s="225"/>
      <c r="BE69" s="225"/>
      <c r="BF69" s="225"/>
      <c r="BG69" s="225"/>
      <c r="BH69" s="225"/>
    </row>
    <row r="70" spans="1:60" s="220" customFormat="1" ht="13.5" hidden="1" customHeight="1" x14ac:dyDescent="0.25">
      <c r="A70" s="609" t="s">
        <v>408</v>
      </c>
      <c r="B70" s="610"/>
      <c r="C70" s="610"/>
      <c r="D70" s="610"/>
      <c r="E70" s="610"/>
      <c r="F70" s="610"/>
      <c r="G70" s="610"/>
      <c r="H70" s="610"/>
      <c r="I70" s="610"/>
      <c r="J70" s="610"/>
      <c r="K70" s="610"/>
      <c r="L70" s="610"/>
      <c r="M70" s="610"/>
      <c r="N70" s="611"/>
      <c r="O70" s="616">
        <f>N37*18+AG37*17</f>
        <v>1050</v>
      </c>
      <c r="P70" s="616"/>
      <c r="Q70" s="616"/>
      <c r="R70" s="616"/>
      <c r="S70" s="616"/>
      <c r="T70" s="616" t="s">
        <v>184</v>
      </c>
      <c r="U70" s="616"/>
      <c r="V70" s="616"/>
      <c r="W70" s="616"/>
      <c r="X70" s="609" t="s">
        <v>386</v>
      </c>
      <c r="Y70" s="610"/>
      <c r="Z70" s="610"/>
      <c r="AA70" s="610"/>
      <c r="AB70" s="610"/>
      <c r="AC70" s="610"/>
      <c r="AD70" s="610"/>
      <c r="AE70" s="610"/>
      <c r="AF70" s="610"/>
      <c r="AG70" s="610"/>
      <c r="AH70" s="610"/>
      <c r="AI70" s="610"/>
      <c r="AJ70" s="610"/>
      <c r="AK70" s="610"/>
      <c r="AL70" s="611"/>
      <c r="AM70" s="616">
        <f>(D44*17-20)*35</f>
        <v>1680</v>
      </c>
      <c r="AN70" s="616"/>
      <c r="AO70" s="616"/>
      <c r="AP70" s="515"/>
      <c r="AQ70" s="514"/>
      <c r="AR70" s="514"/>
      <c r="AS70" s="514"/>
      <c r="AT70" s="514"/>
      <c r="AU70" s="514"/>
      <c r="AV70" s="514"/>
      <c r="AW70" s="514"/>
      <c r="AX70" s="514"/>
      <c r="AY70" s="514"/>
      <c r="AZ70" s="514"/>
      <c r="BA70" s="514"/>
      <c r="BB70" s="514"/>
      <c r="BC70" s="514"/>
      <c r="BD70" s="514"/>
      <c r="BE70" s="514"/>
      <c r="BF70" s="514"/>
      <c r="BG70" s="514"/>
      <c r="BH70" s="514"/>
    </row>
    <row r="71" spans="1:60" s="220" customFormat="1" ht="13.5" hidden="1" customHeight="1" x14ac:dyDescent="0.25">
      <c r="A71" s="609" t="s">
        <v>409</v>
      </c>
      <c r="B71" s="610"/>
      <c r="C71" s="610"/>
      <c r="D71" s="610"/>
      <c r="E71" s="610"/>
      <c r="F71" s="610"/>
      <c r="G71" s="610"/>
      <c r="H71" s="610"/>
      <c r="I71" s="610"/>
      <c r="J71" s="610"/>
      <c r="K71" s="610"/>
      <c r="L71" s="610"/>
      <c r="M71" s="610"/>
      <c r="N71" s="611"/>
      <c r="O71" s="616">
        <f>4.5*10+4.5*8</f>
        <v>81</v>
      </c>
      <c r="P71" s="616"/>
      <c r="Q71" s="616"/>
      <c r="R71" s="616"/>
      <c r="S71" s="616"/>
      <c r="T71" s="616">
        <f>SUM(O70:S72)</f>
        <v>1405.25</v>
      </c>
      <c r="U71" s="616"/>
      <c r="V71" s="616"/>
      <c r="W71" s="616"/>
      <c r="X71" s="609" t="s">
        <v>388</v>
      </c>
      <c r="Y71" s="610"/>
      <c r="Z71" s="610"/>
      <c r="AA71" s="610"/>
      <c r="AB71" s="610"/>
      <c r="AC71" s="610"/>
      <c r="AD71" s="610"/>
      <c r="AE71" s="610"/>
      <c r="AF71" s="610"/>
      <c r="AG71" s="610"/>
      <c r="AH71" s="610"/>
      <c r="AI71" s="610"/>
      <c r="AJ71" s="610"/>
      <c r="AK71" s="610"/>
      <c r="AL71" s="611"/>
      <c r="AM71" s="616">
        <f>T71-AM70</f>
        <v>-274.75</v>
      </c>
      <c r="AN71" s="616"/>
      <c r="AO71" s="616"/>
      <c r="AP71" s="515"/>
      <c r="AQ71" s="514"/>
      <c r="AR71" s="514"/>
      <c r="AS71" s="514"/>
      <c r="AT71" s="514"/>
      <c r="AU71" s="514"/>
      <c r="AV71" s="514"/>
      <c r="AW71" s="514"/>
      <c r="AX71" s="514"/>
      <c r="AY71" s="514"/>
      <c r="AZ71" s="514"/>
      <c r="BA71" s="514"/>
      <c r="BB71" s="514"/>
      <c r="BC71" s="514"/>
      <c r="BD71" s="514"/>
      <c r="BE71" s="514"/>
      <c r="BF71" s="514"/>
      <c r="BG71" s="514"/>
      <c r="BH71" s="514"/>
    </row>
    <row r="72" spans="1:60" s="220" customFormat="1" ht="13.5" hidden="1" customHeight="1" x14ac:dyDescent="0.25">
      <c r="A72" s="609" t="s">
        <v>385</v>
      </c>
      <c r="B72" s="610"/>
      <c r="C72" s="610"/>
      <c r="D72" s="610"/>
      <c r="E72" s="610"/>
      <c r="F72" s="610"/>
      <c r="G72" s="610"/>
      <c r="H72" s="610"/>
      <c r="I72" s="610"/>
      <c r="J72" s="610"/>
      <c r="K72" s="610"/>
      <c r="L72" s="610"/>
      <c r="M72" s="610"/>
      <c r="N72" s="611"/>
      <c r="O72" s="616">
        <f>(L44*6+N44*4.75)*18+(R44*6+T44*4.75)*17</f>
        <v>274.25</v>
      </c>
      <c r="P72" s="616"/>
      <c r="Q72" s="616"/>
      <c r="R72" s="616"/>
      <c r="S72" s="616"/>
      <c r="T72" s="616"/>
      <c r="U72" s="616"/>
      <c r="V72" s="616"/>
      <c r="W72" s="616"/>
      <c r="X72" s="617" t="s">
        <v>397</v>
      </c>
      <c r="Y72" s="618"/>
      <c r="Z72" s="618"/>
      <c r="AA72" s="618"/>
      <c r="AB72" s="618"/>
      <c r="AC72" s="618"/>
      <c r="AD72" s="618"/>
      <c r="AE72" s="618"/>
      <c r="AF72" s="618"/>
      <c r="AG72" s="618"/>
      <c r="AH72" s="618"/>
      <c r="AI72" s="618"/>
      <c r="AJ72" s="618"/>
      <c r="AK72" s="618"/>
      <c r="AL72" s="619"/>
      <c r="AM72" s="626">
        <f>AM71/35</f>
        <v>-7.85</v>
      </c>
      <c r="AN72" s="627"/>
      <c r="AO72" s="628"/>
      <c r="AP72" s="515"/>
      <c r="AQ72" s="514"/>
      <c r="AR72" s="514"/>
      <c r="AS72" s="514"/>
      <c r="AT72" s="514"/>
      <c r="AU72" s="514"/>
      <c r="AV72" s="514"/>
      <c r="AW72" s="514"/>
      <c r="AX72" s="514"/>
      <c r="AY72" s="514"/>
      <c r="AZ72" s="514"/>
      <c r="BA72" s="514"/>
      <c r="BB72" s="514"/>
      <c r="BC72" s="514"/>
      <c r="BD72" s="514"/>
      <c r="BE72" s="514"/>
      <c r="BF72" s="514"/>
      <c r="BG72" s="514"/>
      <c r="BH72" s="514"/>
    </row>
    <row r="73" spans="1:60" s="220" customFormat="1" ht="13.5" hidden="1" customHeight="1" x14ac:dyDescent="0.25">
      <c r="A73" s="222"/>
      <c r="B73" s="223" t="s">
        <v>391</v>
      </c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5"/>
      <c r="AQ73" s="225"/>
      <c r="AR73" s="225"/>
      <c r="AS73" s="225"/>
      <c r="AT73" s="225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5"/>
      <c r="BH73" s="225"/>
    </row>
    <row r="74" spans="1:60" s="220" customFormat="1" ht="13.5" hidden="1" customHeight="1" x14ac:dyDescent="0.25">
      <c r="A74" s="612" t="s">
        <v>410</v>
      </c>
      <c r="B74" s="613"/>
      <c r="C74" s="613"/>
      <c r="D74" s="613"/>
      <c r="E74" s="613"/>
      <c r="F74" s="613"/>
      <c r="G74" s="613"/>
      <c r="H74" s="613"/>
      <c r="I74" s="613"/>
      <c r="J74" s="613"/>
      <c r="K74" s="613"/>
      <c r="L74" s="613"/>
      <c r="M74" s="613"/>
      <c r="N74" s="614"/>
      <c r="O74" s="615">
        <f>I37*18+AB37*17</f>
        <v>1579</v>
      </c>
      <c r="P74" s="615"/>
      <c r="Q74" s="615"/>
      <c r="R74" s="615"/>
      <c r="S74" s="615"/>
      <c r="T74" s="615" t="s">
        <v>184</v>
      </c>
      <c r="U74" s="615"/>
      <c r="V74" s="615"/>
      <c r="W74" s="615"/>
      <c r="X74" s="612" t="s">
        <v>386</v>
      </c>
      <c r="Y74" s="613"/>
      <c r="Z74" s="613"/>
      <c r="AA74" s="613"/>
      <c r="AB74" s="613"/>
      <c r="AC74" s="613"/>
      <c r="AD74" s="613"/>
      <c r="AE74" s="613"/>
      <c r="AF74" s="613"/>
      <c r="AG74" s="613"/>
      <c r="AH74" s="613"/>
      <c r="AI74" s="613"/>
      <c r="AJ74" s="613"/>
      <c r="AK74" s="613"/>
      <c r="AL74" s="614"/>
      <c r="AM74" s="615">
        <f>(D46*17-3)*35</f>
        <v>2275</v>
      </c>
      <c r="AN74" s="615"/>
      <c r="AO74" s="615"/>
      <c r="AP74" s="515">
        <f>32*2/17</f>
        <v>3.7647058823529411</v>
      </c>
      <c r="AQ74" s="514"/>
      <c r="AR74" s="514"/>
      <c r="AS74" s="514"/>
      <c r="AT74" s="514"/>
      <c r="AU74" s="514"/>
      <c r="AV74" s="514"/>
      <c r="AW74" s="514"/>
      <c r="AX74" s="514"/>
      <c r="AY74" s="514"/>
      <c r="AZ74" s="514"/>
      <c r="BA74" s="514"/>
      <c r="BB74" s="514"/>
      <c r="BC74" s="514"/>
      <c r="BD74" s="514"/>
      <c r="BE74" s="514"/>
      <c r="BF74" s="514"/>
      <c r="BG74" s="514"/>
      <c r="BH74" s="514"/>
    </row>
    <row r="75" spans="1:60" s="220" customFormat="1" ht="13.5" hidden="1" customHeight="1" x14ac:dyDescent="0.25">
      <c r="A75" s="612" t="s">
        <v>404</v>
      </c>
      <c r="B75" s="613"/>
      <c r="C75" s="613"/>
      <c r="D75" s="613"/>
      <c r="E75" s="613"/>
      <c r="F75" s="613"/>
      <c r="G75" s="613"/>
      <c r="H75" s="613"/>
      <c r="I75" s="613"/>
      <c r="J75" s="613"/>
      <c r="K75" s="613"/>
      <c r="L75" s="613"/>
      <c r="M75" s="613"/>
      <c r="N75" s="614"/>
      <c r="O75" s="615">
        <f>9*10+9*4</f>
        <v>126</v>
      </c>
      <c r="P75" s="615"/>
      <c r="Q75" s="615"/>
      <c r="R75" s="615"/>
      <c r="S75" s="615"/>
      <c r="T75" s="615">
        <f>SUM(O74:S76)</f>
        <v>1705</v>
      </c>
      <c r="U75" s="615"/>
      <c r="V75" s="615"/>
      <c r="W75" s="615"/>
      <c r="X75" s="612" t="s">
        <v>388</v>
      </c>
      <c r="Y75" s="613"/>
      <c r="Z75" s="613"/>
      <c r="AA75" s="613"/>
      <c r="AB75" s="613"/>
      <c r="AC75" s="613"/>
      <c r="AD75" s="613"/>
      <c r="AE75" s="613"/>
      <c r="AF75" s="613"/>
      <c r="AG75" s="613"/>
      <c r="AH75" s="613"/>
      <c r="AI75" s="613"/>
      <c r="AJ75" s="613"/>
      <c r="AK75" s="613"/>
      <c r="AL75" s="614"/>
      <c r="AM75" s="615">
        <f>T75-AM74</f>
        <v>-570</v>
      </c>
      <c r="AN75" s="615"/>
      <c r="AO75" s="615"/>
      <c r="AP75" s="515"/>
      <c r="AQ75" s="514"/>
      <c r="AR75" s="514"/>
      <c r="AS75" s="514"/>
      <c r="AT75" s="514"/>
      <c r="AU75" s="514"/>
      <c r="AV75" s="514"/>
      <c r="AW75" s="514"/>
      <c r="AX75" s="514"/>
      <c r="AY75" s="514"/>
      <c r="AZ75" s="514"/>
      <c r="BA75" s="514"/>
      <c r="BB75" s="514"/>
      <c r="BC75" s="514"/>
      <c r="BD75" s="514"/>
      <c r="BE75" s="514"/>
      <c r="BF75" s="514"/>
      <c r="BG75" s="514"/>
      <c r="BH75" s="514"/>
    </row>
    <row r="76" spans="1:60" s="220" customFormat="1" ht="13.5" hidden="1" customHeight="1" x14ac:dyDescent="0.25">
      <c r="A76" s="612" t="s">
        <v>385</v>
      </c>
      <c r="B76" s="613"/>
      <c r="C76" s="613"/>
      <c r="D76" s="613"/>
      <c r="E76" s="613"/>
      <c r="F76" s="613"/>
      <c r="G76" s="613"/>
      <c r="H76" s="613"/>
      <c r="I76" s="613"/>
      <c r="J76" s="613"/>
      <c r="K76" s="613"/>
      <c r="L76" s="613"/>
      <c r="M76" s="613"/>
      <c r="N76" s="614"/>
      <c r="O76" s="615"/>
      <c r="P76" s="615"/>
      <c r="Q76" s="615"/>
      <c r="R76" s="615"/>
      <c r="S76" s="615"/>
      <c r="T76" s="615"/>
      <c r="U76" s="615"/>
      <c r="V76" s="615"/>
      <c r="W76" s="615"/>
      <c r="X76" s="617" t="s">
        <v>397</v>
      </c>
      <c r="Y76" s="618"/>
      <c r="Z76" s="618"/>
      <c r="AA76" s="618"/>
      <c r="AB76" s="618"/>
      <c r="AC76" s="618"/>
      <c r="AD76" s="618"/>
      <c r="AE76" s="618"/>
      <c r="AF76" s="618"/>
      <c r="AG76" s="618"/>
      <c r="AH76" s="618"/>
      <c r="AI76" s="618"/>
      <c r="AJ76" s="618"/>
      <c r="AK76" s="618"/>
      <c r="AL76" s="619"/>
      <c r="AM76" s="623">
        <f>AM75/35</f>
        <v>-16.285714285714285</v>
      </c>
      <c r="AN76" s="624"/>
      <c r="AO76" s="625"/>
      <c r="AP76" s="515"/>
      <c r="AQ76" s="514"/>
      <c r="AR76" s="514"/>
      <c r="AS76" s="514"/>
      <c r="AT76" s="514"/>
      <c r="AU76" s="514"/>
      <c r="AV76" s="514"/>
      <c r="AW76" s="514"/>
      <c r="AX76" s="514"/>
      <c r="AY76" s="514"/>
      <c r="AZ76" s="514"/>
      <c r="BA76" s="514"/>
      <c r="BB76" s="514"/>
      <c r="BC76" s="514"/>
      <c r="BD76" s="514"/>
      <c r="BE76" s="514"/>
      <c r="BF76" s="514"/>
      <c r="BG76" s="514"/>
      <c r="BH76" s="514"/>
    </row>
    <row r="77" spans="1:60" s="220" customFormat="1" ht="13.5" hidden="1" customHeight="1" x14ac:dyDescent="0.25">
      <c r="A77" s="222"/>
      <c r="B77" s="223" t="s">
        <v>392</v>
      </c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225"/>
      <c r="BH77" s="225"/>
    </row>
    <row r="78" spans="1:60" s="220" customFormat="1" ht="13.5" hidden="1" customHeight="1" x14ac:dyDescent="0.25">
      <c r="A78" s="612" t="s">
        <v>414</v>
      </c>
      <c r="B78" s="613"/>
      <c r="C78" s="613"/>
      <c r="D78" s="613"/>
      <c r="E78" s="613"/>
      <c r="F78" s="613"/>
      <c r="G78" s="613"/>
      <c r="H78" s="613"/>
      <c r="I78" s="613"/>
      <c r="J78" s="613"/>
      <c r="K78" s="613"/>
      <c r="L78" s="613"/>
      <c r="M78" s="613"/>
      <c r="N78" s="614"/>
      <c r="O78" s="615">
        <f>P37*18+AI37*17</f>
        <v>770</v>
      </c>
      <c r="P78" s="615"/>
      <c r="Q78" s="615"/>
      <c r="R78" s="615"/>
      <c r="S78" s="615"/>
      <c r="T78" s="615" t="s">
        <v>184</v>
      </c>
      <c r="U78" s="615"/>
      <c r="V78" s="615"/>
      <c r="W78" s="615"/>
      <c r="X78" s="612" t="s">
        <v>386</v>
      </c>
      <c r="Y78" s="613"/>
      <c r="Z78" s="613"/>
      <c r="AA78" s="613"/>
      <c r="AB78" s="613"/>
      <c r="AC78" s="613"/>
      <c r="AD78" s="613"/>
      <c r="AE78" s="613"/>
      <c r="AF78" s="613"/>
      <c r="AG78" s="613"/>
      <c r="AH78" s="613"/>
      <c r="AI78" s="613"/>
      <c r="AJ78" s="613"/>
      <c r="AK78" s="613"/>
      <c r="AL78" s="614"/>
      <c r="AM78" s="615">
        <f>(D47*17-1)*35+(5*15)+(4*9)</f>
        <v>1266</v>
      </c>
      <c r="AN78" s="615"/>
      <c r="AO78" s="615"/>
      <c r="AP78" s="516">
        <f>AM75+AM79</f>
        <v>-1017</v>
      </c>
      <c r="AQ78" s="517"/>
      <c r="AR78" s="517"/>
      <c r="AS78" s="517"/>
      <c r="AT78" s="517"/>
      <c r="AU78" s="517"/>
      <c r="AV78" s="517"/>
      <c r="AW78" s="517"/>
      <c r="AX78" s="517"/>
      <c r="AY78" s="517"/>
      <c r="AZ78" s="517"/>
      <c r="BA78" s="517"/>
      <c r="BB78" s="517"/>
      <c r="BC78" s="517"/>
      <c r="BD78" s="517"/>
      <c r="BE78" s="517"/>
      <c r="BF78" s="517"/>
      <c r="BG78" s="517"/>
      <c r="BH78" s="517"/>
    </row>
    <row r="79" spans="1:60" s="220" customFormat="1" ht="13.5" hidden="1" customHeight="1" x14ac:dyDescent="0.25">
      <c r="A79" s="612" t="s">
        <v>404</v>
      </c>
      <c r="B79" s="613"/>
      <c r="C79" s="613"/>
      <c r="D79" s="613"/>
      <c r="E79" s="613"/>
      <c r="F79" s="613"/>
      <c r="G79" s="613"/>
      <c r="H79" s="613"/>
      <c r="I79" s="613"/>
      <c r="J79" s="613"/>
      <c r="K79" s="613"/>
      <c r="L79" s="613"/>
      <c r="M79" s="613"/>
      <c r="N79" s="614"/>
      <c r="O79" s="615">
        <f>3.5*10+3.5*4</f>
        <v>49</v>
      </c>
      <c r="P79" s="615"/>
      <c r="Q79" s="615"/>
      <c r="R79" s="615"/>
      <c r="S79" s="615"/>
      <c r="T79" s="615">
        <f>SUM(O78:S80)</f>
        <v>819</v>
      </c>
      <c r="U79" s="615"/>
      <c r="V79" s="615"/>
      <c r="W79" s="615"/>
      <c r="X79" s="612" t="s">
        <v>388</v>
      </c>
      <c r="Y79" s="613"/>
      <c r="Z79" s="613"/>
      <c r="AA79" s="613"/>
      <c r="AB79" s="613"/>
      <c r="AC79" s="613"/>
      <c r="AD79" s="613"/>
      <c r="AE79" s="613"/>
      <c r="AF79" s="613"/>
      <c r="AG79" s="613"/>
      <c r="AH79" s="613"/>
      <c r="AI79" s="613"/>
      <c r="AJ79" s="613"/>
      <c r="AK79" s="613"/>
      <c r="AL79" s="614"/>
      <c r="AM79" s="615">
        <f>T79-AM78</f>
        <v>-447</v>
      </c>
      <c r="AN79" s="615"/>
      <c r="AO79" s="615"/>
      <c r="AP79" s="516"/>
      <c r="AQ79" s="517"/>
      <c r="AR79" s="517"/>
      <c r="AS79" s="517"/>
      <c r="AT79" s="517"/>
      <c r="AU79" s="517"/>
      <c r="AV79" s="517"/>
      <c r="AW79" s="517"/>
      <c r="AX79" s="517"/>
      <c r="AY79" s="517"/>
      <c r="AZ79" s="517"/>
      <c r="BA79" s="517"/>
      <c r="BB79" s="517"/>
      <c r="BC79" s="517"/>
      <c r="BD79" s="517"/>
      <c r="BE79" s="517"/>
      <c r="BF79" s="517"/>
      <c r="BG79" s="517"/>
      <c r="BH79" s="517"/>
    </row>
    <row r="80" spans="1:60" s="220" customFormat="1" ht="13.5" hidden="1" customHeight="1" x14ac:dyDescent="0.25">
      <c r="A80" s="612" t="s">
        <v>385</v>
      </c>
      <c r="B80" s="613"/>
      <c r="C80" s="613"/>
      <c r="D80" s="613"/>
      <c r="E80" s="613"/>
      <c r="F80" s="613"/>
      <c r="G80" s="613"/>
      <c r="H80" s="613"/>
      <c r="I80" s="613"/>
      <c r="J80" s="613"/>
      <c r="K80" s="613"/>
      <c r="L80" s="613"/>
      <c r="M80" s="613"/>
      <c r="N80" s="614"/>
      <c r="O80" s="615"/>
      <c r="P80" s="615"/>
      <c r="Q80" s="615"/>
      <c r="R80" s="615"/>
      <c r="S80" s="615"/>
      <c r="T80" s="615"/>
      <c r="U80" s="615"/>
      <c r="V80" s="615"/>
      <c r="W80" s="615"/>
      <c r="X80" s="617" t="s">
        <v>397</v>
      </c>
      <c r="Y80" s="618"/>
      <c r="Z80" s="618"/>
      <c r="AA80" s="618"/>
      <c r="AB80" s="618"/>
      <c r="AC80" s="618"/>
      <c r="AD80" s="618"/>
      <c r="AE80" s="618"/>
      <c r="AF80" s="618"/>
      <c r="AG80" s="618"/>
      <c r="AH80" s="618"/>
      <c r="AI80" s="618"/>
      <c r="AJ80" s="618"/>
      <c r="AK80" s="618"/>
      <c r="AL80" s="619"/>
      <c r="AM80" s="623">
        <f>AM79/35</f>
        <v>-12.771428571428572</v>
      </c>
      <c r="AN80" s="624"/>
      <c r="AO80" s="625"/>
      <c r="AP80" s="516"/>
      <c r="AQ80" s="517"/>
      <c r="AR80" s="517"/>
      <c r="AS80" s="517"/>
      <c r="AT80" s="517"/>
      <c r="AU80" s="517"/>
      <c r="AV80" s="517"/>
      <c r="AW80" s="517"/>
      <c r="AX80" s="517"/>
      <c r="AY80" s="517"/>
      <c r="AZ80" s="517"/>
      <c r="BA80" s="517"/>
      <c r="BB80" s="517"/>
      <c r="BC80" s="517"/>
      <c r="BD80" s="517"/>
      <c r="BE80" s="517"/>
      <c r="BF80" s="517"/>
      <c r="BG80" s="517"/>
      <c r="BH80" s="517"/>
    </row>
    <row r="81" spans="1:60" s="220" customFormat="1" ht="13.5" hidden="1" customHeight="1" x14ac:dyDescent="0.25">
      <c r="A81" s="224"/>
      <c r="B81" s="221" t="s">
        <v>393</v>
      </c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5"/>
      <c r="AQ81" s="225"/>
      <c r="AR81" s="225"/>
      <c r="AS81" s="225"/>
      <c r="AT81" s="225"/>
      <c r="AU81" s="225"/>
      <c r="AV81" s="225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225"/>
      <c r="BH81" s="225"/>
    </row>
    <row r="82" spans="1:60" s="220" customFormat="1" ht="13.5" hidden="1" customHeight="1" x14ac:dyDescent="0.25">
      <c r="A82" s="609" t="s">
        <v>411</v>
      </c>
      <c r="B82" s="610"/>
      <c r="C82" s="610"/>
      <c r="D82" s="610"/>
      <c r="E82" s="610"/>
      <c r="F82" s="610"/>
      <c r="G82" s="610"/>
      <c r="H82" s="610"/>
      <c r="I82" s="610"/>
      <c r="J82" s="610"/>
      <c r="K82" s="610"/>
      <c r="L82" s="610"/>
      <c r="M82" s="610"/>
      <c r="N82" s="611"/>
      <c r="O82" s="616">
        <f>O37*18+AH37*17</f>
        <v>1365</v>
      </c>
      <c r="P82" s="616"/>
      <c r="Q82" s="616"/>
      <c r="R82" s="616"/>
      <c r="S82" s="616"/>
      <c r="T82" s="616" t="s">
        <v>184</v>
      </c>
      <c r="U82" s="616"/>
      <c r="V82" s="616"/>
      <c r="W82" s="616"/>
      <c r="X82" s="609" t="s">
        <v>386</v>
      </c>
      <c r="Y82" s="610"/>
      <c r="Z82" s="610"/>
      <c r="AA82" s="610"/>
      <c r="AB82" s="610"/>
      <c r="AC82" s="610"/>
      <c r="AD82" s="610"/>
      <c r="AE82" s="610"/>
      <c r="AF82" s="610"/>
      <c r="AG82" s="610"/>
      <c r="AH82" s="610"/>
      <c r="AI82" s="610"/>
      <c r="AJ82" s="610"/>
      <c r="AK82" s="610"/>
      <c r="AL82" s="611"/>
      <c r="AM82" s="616">
        <f>(D48*17-3)*35</f>
        <v>2275</v>
      </c>
      <c r="AN82" s="616"/>
      <c r="AO82" s="616"/>
      <c r="AP82" s="515"/>
      <c r="AQ82" s="514"/>
      <c r="AR82" s="514"/>
      <c r="AS82" s="514"/>
      <c r="AT82" s="514"/>
      <c r="AU82" s="514"/>
      <c r="AV82" s="514"/>
      <c r="AW82" s="514"/>
      <c r="AX82" s="514"/>
      <c r="AY82" s="514"/>
      <c r="AZ82" s="514"/>
      <c r="BA82" s="514"/>
      <c r="BB82" s="514"/>
      <c r="BC82" s="514"/>
      <c r="BD82" s="514"/>
      <c r="BE82" s="514"/>
      <c r="BF82" s="514"/>
      <c r="BG82" s="514"/>
      <c r="BH82" s="514"/>
    </row>
    <row r="83" spans="1:60" s="220" customFormat="1" ht="13.5" hidden="1" customHeight="1" x14ac:dyDescent="0.25">
      <c r="A83" s="609" t="s">
        <v>409</v>
      </c>
      <c r="B83" s="610"/>
      <c r="C83" s="610"/>
      <c r="D83" s="610"/>
      <c r="E83" s="610"/>
      <c r="F83" s="610"/>
      <c r="G83" s="610"/>
      <c r="H83" s="610"/>
      <c r="I83" s="610"/>
      <c r="J83" s="610"/>
      <c r="K83" s="610"/>
      <c r="L83" s="610"/>
      <c r="M83" s="610"/>
      <c r="N83" s="611"/>
      <c r="O83" s="616">
        <f>9*10+9*8</f>
        <v>162</v>
      </c>
      <c r="P83" s="616"/>
      <c r="Q83" s="616"/>
      <c r="R83" s="616"/>
      <c r="S83" s="616"/>
      <c r="T83" s="616">
        <f>SUM(O82:S84)</f>
        <v>1886.75</v>
      </c>
      <c r="U83" s="616"/>
      <c r="V83" s="616"/>
      <c r="W83" s="616"/>
      <c r="X83" s="609" t="s">
        <v>388</v>
      </c>
      <c r="Y83" s="610"/>
      <c r="Z83" s="610"/>
      <c r="AA83" s="610"/>
      <c r="AB83" s="610"/>
      <c r="AC83" s="610"/>
      <c r="AD83" s="610"/>
      <c r="AE83" s="610"/>
      <c r="AF83" s="610"/>
      <c r="AG83" s="610"/>
      <c r="AH83" s="610"/>
      <c r="AI83" s="610"/>
      <c r="AJ83" s="610"/>
      <c r="AK83" s="610"/>
      <c r="AL83" s="611"/>
      <c r="AM83" s="616">
        <f>T83-AM82</f>
        <v>-388.25</v>
      </c>
      <c r="AN83" s="616"/>
      <c r="AO83" s="616"/>
      <c r="AP83" s="515"/>
      <c r="AQ83" s="514"/>
      <c r="AR83" s="514"/>
      <c r="AS83" s="514"/>
      <c r="AT83" s="514"/>
      <c r="AU83" s="514"/>
      <c r="AV83" s="514"/>
      <c r="AW83" s="514"/>
      <c r="AX83" s="514"/>
      <c r="AY83" s="514"/>
      <c r="AZ83" s="514"/>
      <c r="BA83" s="514"/>
      <c r="BB83" s="514"/>
      <c r="BC83" s="514"/>
      <c r="BD83" s="514"/>
      <c r="BE83" s="514"/>
      <c r="BF83" s="514"/>
      <c r="BG83" s="514"/>
      <c r="BH83" s="514"/>
    </row>
    <row r="84" spans="1:60" s="220" customFormat="1" ht="13.5" hidden="1" customHeight="1" x14ac:dyDescent="0.25">
      <c r="A84" s="609" t="s">
        <v>385</v>
      </c>
      <c r="B84" s="610"/>
      <c r="C84" s="610"/>
      <c r="D84" s="610"/>
      <c r="E84" s="610"/>
      <c r="F84" s="610"/>
      <c r="G84" s="610"/>
      <c r="H84" s="610"/>
      <c r="I84" s="610"/>
      <c r="J84" s="610"/>
      <c r="K84" s="610"/>
      <c r="L84" s="610"/>
      <c r="M84" s="610"/>
      <c r="N84" s="611"/>
      <c r="O84" s="616">
        <f>(L48*6+N48*4.75)*18+(R48*6+T48*4.75)*17</f>
        <v>359.75</v>
      </c>
      <c r="P84" s="616"/>
      <c r="Q84" s="616"/>
      <c r="R84" s="616"/>
      <c r="S84" s="616"/>
      <c r="T84" s="616"/>
      <c r="U84" s="616"/>
      <c r="V84" s="616"/>
      <c r="W84" s="616"/>
      <c r="X84" s="617" t="s">
        <v>397</v>
      </c>
      <c r="Y84" s="618"/>
      <c r="Z84" s="618"/>
      <c r="AA84" s="618"/>
      <c r="AB84" s="618"/>
      <c r="AC84" s="618"/>
      <c r="AD84" s="618"/>
      <c r="AE84" s="618"/>
      <c r="AF84" s="618"/>
      <c r="AG84" s="618"/>
      <c r="AH84" s="618"/>
      <c r="AI84" s="618"/>
      <c r="AJ84" s="618"/>
      <c r="AK84" s="618"/>
      <c r="AL84" s="619"/>
      <c r="AM84" s="626">
        <f>AM83/35</f>
        <v>-11.092857142857143</v>
      </c>
      <c r="AN84" s="627"/>
      <c r="AO84" s="628"/>
      <c r="AP84" s="515"/>
      <c r="AQ84" s="514"/>
      <c r="AR84" s="514"/>
      <c r="AS84" s="514"/>
      <c r="AT84" s="514"/>
      <c r="AU84" s="514"/>
      <c r="AV84" s="514"/>
      <c r="AW84" s="514"/>
      <c r="AX84" s="514"/>
      <c r="AY84" s="514"/>
      <c r="AZ84" s="514"/>
      <c r="BA84" s="514"/>
      <c r="BB84" s="514"/>
      <c r="BC84" s="514"/>
      <c r="BD84" s="514"/>
      <c r="BE84" s="514"/>
      <c r="BF84" s="514"/>
      <c r="BG84" s="514"/>
      <c r="BH84" s="514"/>
    </row>
    <row r="85" spans="1:60" s="220" customFormat="1" ht="13.5" hidden="1" customHeight="1" x14ac:dyDescent="0.25">
      <c r="A85" s="222"/>
      <c r="B85" s="223" t="s">
        <v>394</v>
      </c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</row>
    <row r="86" spans="1:60" s="220" customFormat="1" ht="13.5" hidden="1" customHeight="1" x14ac:dyDescent="0.25">
      <c r="A86" s="612" t="s">
        <v>395</v>
      </c>
      <c r="B86" s="613"/>
      <c r="C86" s="613"/>
      <c r="D86" s="613"/>
      <c r="E86" s="613"/>
      <c r="F86" s="613"/>
      <c r="G86" s="613"/>
      <c r="H86" s="613"/>
      <c r="I86" s="613"/>
      <c r="J86" s="613"/>
      <c r="K86" s="613"/>
      <c r="L86" s="613"/>
      <c r="M86" s="613"/>
      <c r="N86" s="614"/>
      <c r="O86" s="615">
        <f>F37*18+Y37*17</f>
        <v>2940</v>
      </c>
      <c r="P86" s="615"/>
      <c r="Q86" s="615"/>
      <c r="R86" s="615"/>
      <c r="S86" s="615"/>
      <c r="T86" s="615" t="s">
        <v>184</v>
      </c>
      <c r="U86" s="615"/>
      <c r="V86" s="615"/>
      <c r="W86" s="615"/>
      <c r="X86" s="612" t="s">
        <v>386</v>
      </c>
      <c r="Y86" s="613"/>
      <c r="Z86" s="613"/>
      <c r="AA86" s="613"/>
      <c r="AB86" s="613"/>
      <c r="AC86" s="613"/>
      <c r="AD86" s="613"/>
      <c r="AE86" s="613"/>
      <c r="AF86" s="613"/>
      <c r="AG86" s="613"/>
      <c r="AH86" s="613"/>
      <c r="AI86" s="613"/>
      <c r="AJ86" s="613"/>
      <c r="AK86" s="613"/>
      <c r="AL86" s="614"/>
      <c r="AM86" s="615">
        <f>(D49*17-3)*35</f>
        <v>3465</v>
      </c>
      <c r="AN86" s="615"/>
      <c r="AO86" s="615"/>
      <c r="AP86" s="515"/>
      <c r="AQ86" s="514"/>
      <c r="AR86" s="514"/>
      <c r="AS86" s="514"/>
      <c r="AT86" s="514"/>
      <c r="AU86" s="514"/>
      <c r="AV86" s="514"/>
      <c r="AW86" s="514"/>
      <c r="AX86" s="514"/>
      <c r="AY86" s="514"/>
      <c r="AZ86" s="514"/>
      <c r="BA86" s="514"/>
      <c r="BB86" s="514"/>
      <c r="BC86" s="514"/>
      <c r="BD86" s="514"/>
      <c r="BE86" s="514"/>
      <c r="BF86" s="514"/>
      <c r="BG86" s="514"/>
      <c r="BH86" s="514"/>
    </row>
    <row r="87" spans="1:60" s="220" customFormat="1" ht="13.5" hidden="1" customHeight="1" x14ac:dyDescent="0.25">
      <c r="A87" s="612" t="s">
        <v>404</v>
      </c>
      <c r="B87" s="613"/>
      <c r="C87" s="613"/>
      <c r="D87" s="613"/>
      <c r="E87" s="613"/>
      <c r="F87" s="613"/>
      <c r="G87" s="613"/>
      <c r="H87" s="613"/>
      <c r="I87" s="613"/>
      <c r="J87" s="613"/>
      <c r="K87" s="613"/>
      <c r="L87" s="613"/>
      <c r="M87" s="613"/>
      <c r="N87" s="614"/>
      <c r="O87" s="615">
        <v>0</v>
      </c>
      <c r="P87" s="615"/>
      <c r="Q87" s="615"/>
      <c r="R87" s="615"/>
      <c r="S87" s="615"/>
      <c r="T87" s="615">
        <f>SUM(O86:S88)</f>
        <v>3419.5</v>
      </c>
      <c r="U87" s="615"/>
      <c r="V87" s="615"/>
      <c r="W87" s="615"/>
      <c r="X87" s="612" t="s">
        <v>388</v>
      </c>
      <c r="Y87" s="613"/>
      <c r="Z87" s="613"/>
      <c r="AA87" s="613"/>
      <c r="AB87" s="613"/>
      <c r="AC87" s="613"/>
      <c r="AD87" s="613"/>
      <c r="AE87" s="613"/>
      <c r="AF87" s="613"/>
      <c r="AG87" s="613"/>
      <c r="AH87" s="613"/>
      <c r="AI87" s="613"/>
      <c r="AJ87" s="613"/>
      <c r="AK87" s="613"/>
      <c r="AL87" s="614"/>
      <c r="AM87" s="615">
        <f>T87-AM86</f>
        <v>-45.5</v>
      </c>
      <c r="AN87" s="615"/>
      <c r="AO87" s="615"/>
      <c r="AP87" s="515"/>
      <c r="AQ87" s="514"/>
      <c r="AR87" s="514"/>
      <c r="AS87" s="514"/>
      <c r="AT87" s="514"/>
      <c r="AU87" s="514"/>
      <c r="AV87" s="514"/>
      <c r="AW87" s="514"/>
      <c r="AX87" s="514"/>
      <c r="AY87" s="514"/>
      <c r="AZ87" s="514"/>
      <c r="BA87" s="514"/>
      <c r="BB87" s="514"/>
      <c r="BC87" s="514"/>
      <c r="BD87" s="514"/>
      <c r="BE87" s="514"/>
      <c r="BF87" s="514"/>
      <c r="BG87" s="514"/>
      <c r="BH87" s="514"/>
    </row>
    <row r="88" spans="1:60" s="220" customFormat="1" ht="13.5" hidden="1" customHeight="1" x14ac:dyDescent="0.25">
      <c r="A88" s="612" t="s">
        <v>385</v>
      </c>
      <c r="B88" s="613"/>
      <c r="C88" s="613"/>
      <c r="D88" s="613"/>
      <c r="E88" s="613"/>
      <c r="F88" s="613"/>
      <c r="G88" s="613"/>
      <c r="H88" s="613"/>
      <c r="I88" s="613"/>
      <c r="J88" s="613"/>
      <c r="K88" s="613"/>
      <c r="L88" s="613"/>
      <c r="M88" s="613"/>
      <c r="N88" s="614"/>
      <c r="O88" s="616">
        <f>(L49*6+N49*4.75)*18+(R49*6+T49*4.75)*17</f>
        <v>479.5</v>
      </c>
      <c r="P88" s="616"/>
      <c r="Q88" s="616"/>
      <c r="R88" s="616"/>
      <c r="S88" s="616"/>
      <c r="T88" s="615"/>
      <c r="U88" s="615"/>
      <c r="V88" s="615"/>
      <c r="W88" s="615"/>
      <c r="X88" s="617" t="s">
        <v>397</v>
      </c>
      <c r="Y88" s="618"/>
      <c r="Z88" s="618"/>
      <c r="AA88" s="618"/>
      <c r="AB88" s="618"/>
      <c r="AC88" s="618"/>
      <c r="AD88" s="618"/>
      <c r="AE88" s="618"/>
      <c r="AF88" s="618"/>
      <c r="AG88" s="618"/>
      <c r="AH88" s="618"/>
      <c r="AI88" s="618"/>
      <c r="AJ88" s="618"/>
      <c r="AK88" s="618"/>
      <c r="AL88" s="619"/>
      <c r="AM88" s="623">
        <f>AM87/35</f>
        <v>-1.3</v>
      </c>
      <c r="AN88" s="624"/>
      <c r="AO88" s="625"/>
      <c r="AP88" s="515"/>
      <c r="AQ88" s="514"/>
      <c r="AR88" s="514"/>
      <c r="AS88" s="514"/>
      <c r="AT88" s="514"/>
      <c r="AU88" s="514"/>
      <c r="AV88" s="514"/>
      <c r="AW88" s="514"/>
      <c r="AX88" s="514"/>
      <c r="AY88" s="514"/>
      <c r="AZ88" s="514"/>
      <c r="BA88" s="514"/>
      <c r="BB88" s="514"/>
      <c r="BC88" s="514"/>
      <c r="BD88" s="514"/>
      <c r="BE88" s="514"/>
      <c r="BF88" s="514"/>
      <c r="BG88" s="514"/>
      <c r="BH88" s="514"/>
    </row>
    <row r="89" spans="1:60" s="220" customFormat="1" ht="13.5" hidden="1" customHeight="1" x14ac:dyDescent="0.25">
      <c r="A89" s="224"/>
      <c r="B89" s="221" t="s">
        <v>396</v>
      </c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  <c r="AO89" s="224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5"/>
      <c r="BH89" s="225"/>
    </row>
    <row r="90" spans="1:60" s="220" customFormat="1" ht="13.5" hidden="1" customHeight="1" x14ac:dyDescent="0.25">
      <c r="A90" s="609" t="s">
        <v>412</v>
      </c>
      <c r="B90" s="610"/>
      <c r="C90" s="610"/>
      <c r="D90" s="610"/>
      <c r="E90" s="610"/>
      <c r="F90" s="610"/>
      <c r="G90" s="610"/>
      <c r="H90" s="610"/>
      <c r="I90" s="610"/>
      <c r="J90" s="610"/>
      <c r="K90" s="610"/>
      <c r="L90" s="610"/>
      <c r="M90" s="610"/>
      <c r="N90" s="611"/>
      <c r="O90" s="616">
        <f>G37*18+Z37*17</f>
        <v>1960</v>
      </c>
      <c r="P90" s="616"/>
      <c r="Q90" s="616"/>
      <c r="R90" s="616"/>
      <c r="S90" s="616"/>
      <c r="T90" s="616" t="s">
        <v>184</v>
      </c>
      <c r="U90" s="616"/>
      <c r="V90" s="616"/>
      <c r="W90" s="616"/>
      <c r="X90" s="609" t="s">
        <v>386</v>
      </c>
      <c r="Y90" s="610"/>
      <c r="Z90" s="610"/>
      <c r="AA90" s="610"/>
      <c r="AB90" s="610"/>
      <c r="AC90" s="610"/>
      <c r="AD90" s="610"/>
      <c r="AE90" s="610"/>
      <c r="AF90" s="610"/>
      <c r="AG90" s="610"/>
      <c r="AH90" s="610"/>
      <c r="AI90" s="610"/>
      <c r="AJ90" s="610"/>
      <c r="AK90" s="610"/>
      <c r="AL90" s="611"/>
      <c r="AM90" s="616">
        <f>(D50*17-22.85)*35-(5*7)</f>
        <v>2735.25</v>
      </c>
      <c r="AN90" s="616"/>
      <c r="AO90" s="616"/>
      <c r="AP90" s="515"/>
      <c r="AQ90" s="514"/>
      <c r="AR90" s="514"/>
      <c r="AS90" s="514"/>
      <c r="AT90" s="514"/>
      <c r="AU90" s="514"/>
      <c r="AV90" s="514"/>
      <c r="AW90" s="514"/>
      <c r="AX90" s="514"/>
      <c r="AY90" s="514"/>
      <c r="AZ90" s="514"/>
      <c r="BA90" s="514"/>
      <c r="BB90" s="514"/>
      <c r="BC90" s="514"/>
      <c r="BD90" s="514"/>
      <c r="BE90" s="514"/>
      <c r="BF90" s="514"/>
      <c r="BG90" s="514"/>
      <c r="BH90" s="514"/>
    </row>
    <row r="91" spans="1:60" s="220" customFormat="1" ht="13.5" hidden="1" customHeight="1" x14ac:dyDescent="0.25">
      <c r="A91" s="609" t="s">
        <v>413</v>
      </c>
      <c r="B91" s="610"/>
      <c r="C91" s="610"/>
      <c r="D91" s="610"/>
      <c r="E91" s="610"/>
      <c r="F91" s="610"/>
      <c r="G91" s="610"/>
      <c r="H91" s="610"/>
      <c r="I91" s="610"/>
      <c r="J91" s="610"/>
      <c r="K91" s="610"/>
      <c r="L91" s="610"/>
      <c r="M91" s="610"/>
      <c r="N91" s="611"/>
      <c r="O91" s="616">
        <f>H37*18+AA37*17</f>
        <v>980</v>
      </c>
      <c r="P91" s="616"/>
      <c r="Q91" s="616"/>
      <c r="R91" s="616"/>
      <c r="S91" s="616"/>
      <c r="T91" s="616">
        <f>SUM(O90:S92)</f>
        <v>2940</v>
      </c>
      <c r="U91" s="616"/>
      <c r="V91" s="616"/>
      <c r="W91" s="616"/>
      <c r="X91" s="609" t="s">
        <v>388</v>
      </c>
      <c r="Y91" s="610"/>
      <c r="Z91" s="610"/>
      <c r="AA91" s="610"/>
      <c r="AB91" s="610"/>
      <c r="AC91" s="610"/>
      <c r="AD91" s="610"/>
      <c r="AE91" s="610"/>
      <c r="AF91" s="610"/>
      <c r="AG91" s="610"/>
      <c r="AH91" s="610"/>
      <c r="AI91" s="610"/>
      <c r="AJ91" s="610"/>
      <c r="AK91" s="610"/>
      <c r="AL91" s="611"/>
      <c r="AM91" s="616">
        <f>T91-AM90</f>
        <v>204.75</v>
      </c>
      <c r="AN91" s="616"/>
      <c r="AO91" s="616"/>
      <c r="AP91" s="515"/>
      <c r="AQ91" s="514"/>
      <c r="AR91" s="514"/>
      <c r="AS91" s="514"/>
      <c r="AT91" s="514"/>
      <c r="AU91" s="514"/>
      <c r="AV91" s="514"/>
      <c r="AW91" s="514"/>
      <c r="AX91" s="514"/>
      <c r="AY91" s="514"/>
      <c r="AZ91" s="514"/>
      <c r="BA91" s="514"/>
      <c r="BB91" s="514"/>
      <c r="BC91" s="514"/>
      <c r="BD91" s="514"/>
      <c r="BE91" s="514"/>
      <c r="BF91" s="514"/>
      <c r="BG91" s="514"/>
      <c r="BH91" s="514"/>
    </row>
    <row r="92" spans="1:60" s="220" customFormat="1" ht="13.5" hidden="1" customHeight="1" x14ac:dyDescent="0.25">
      <c r="A92" s="609" t="s">
        <v>385</v>
      </c>
      <c r="B92" s="610"/>
      <c r="C92" s="610"/>
      <c r="D92" s="610"/>
      <c r="E92" s="610"/>
      <c r="F92" s="610"/>
      <c r="G92" s="610"/>
      <c r="H92" s="610"/>
      <c r="I92" s="610"/>
      <c r="J92" s="610"/>
      <c r="K92" s="610"/>
      <c r="L92" s="610"/>
      <c r="M92" s="610"/>
      <c r="N92" s="611"/>
      <c r="O92" s="616">
        <v>0</v>
      </c>
      <c r="P92" s="616"/>
      <c r="Q92" s="616"/>
      <c r="R92" s="616"/>
      <c r="S92" s="616"/>
      <c r="T92" s="616"/>
      <c r="U92" s="616"/>
      <c r="V92" s="616"/>
      <c r="W92" s="616"/>
      <c r="X92" s="617" t="s">
        <v>397</v>
      </c>
      <c r="Y92" s="618"/>
      <c r="Z92" s="618"/>
      <c r="AA92" s="618"/>
      <c r="AB92" s="618"/>
      <c r="AC92" s="618"/>
      <c r="AD92" s="618"/>
      <c r="AE92" s="618"/>
      <c r="AF92" s="618"/>
      <c r="AG92" s="618"/>
      <c r="AH92" s="618"/>
      <c r="AI92" s="618"/>
      <c r="AJ92" s="618"/>
      <c r="AK92" s="618"/>
      <c r="AL92" s="619"/>
      <c r="AM92" s="626">
        <f>AM91/35</f>
        <v>5.85</v>
      </c>
      <c r="AN92" s="627"/>
      <c r="AO92" s="628"/>
      <c r="AP92" s="515"/>
      <c r="AQ92" s="514"/>
      <c r="AR92" s="514"/>
      <c r="AS92" s="514"/>
      <c r="AT92" s="514"/>
      <c r="AU92" s="514"/>
      <c r="AV92" s="514"/>
      <c r="AW92" s="514"/>
      <c r="AX92" s="514"/>
      <c r="AY92" s="514"/>
      <c r="AZ92" s="514"/>
      <c r="BA92" s="514"/>
      <c r="BB92" s="514"/>
      <c r="BC92" s="514"/>
      <c r="BD92" s="514"/>
      <c r="BE92" s="514"/>
      <c r="BF92" s="514"/>
      <c r="BG92" s="514"/>
      <c r="BH92" s="514"/>
    </row>
  </sheetData>
  <sortState ref="A7:BI16">
    <sortCondition ref="A7:A16"/>
  </sortState>
  <mergeCells count="527"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4"/>
  <sheetViews>
    <sheetView topLeftCell="K1" zoomScale="115" zoomScaleNormal="115" zoomScaleSheetLayoutView="100" workbookViewId="0">
      <pane xSplit="3" ySplit="3" topLeftCell="N166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Z186" sqref="Z186"/>
    </sheetView>
  </sheetViews>
  <sheetFormatPr defaultRowHeight="15.75" x14ac:dyDescent="0.25"/>
  <cols>
    <col min="1" max="1" width="2.625" hidden="1" customWidth="1"/>
    <col min="2" max="2" width="2.625" style="6" hidden="1" customWidth="1"/>
    <col min="3" max="3" width="2.625" style="7" hidden="1" customWidth="1"/>
    <col min="4" max="4" width="2.625" hidden="1" customWidth="1"/>
    <col min="5" max="5" width="2.625" style="7" hidden="1" customWidth="1"/>
    <col min="6" max="6" width="2.625" hidden="1" customWidth="1"/>
    <col min="7" max="7" width="2.625" style="7" hidden="1" customWidth="1"/>
    <col min="8" max="8" width="2.625" hidden="1" customWidth="1"/>
    <col min="9" max="9" width="2.625" style="7" hidden="1" customWidth="1"/>
    <col min="10" max="10" width="2.625" bestFit="1" customWidth="1"/>
    <col min="11" max="11" width="6.125" style="4" customWidth="1"/>
    <col min="12" max="12" width="5.25" style="4" customWidth="1"/>
    <col min="13" max="13" width="7.75" style="5" customWidth="1"/>
    <col min="14" max="18" width="4.75" style="42" customWidth="1"/>
    <col min="19" max="22" width="4.75" style="4" customWidth="1"/>
    <col min="23" max="23" width="5.625" style="4" bestFit="1" customWidth="1"/>
    <col min="24" max="27" width="4.625" style="4" customWidth="1"/>
    <col min="28" max="28" width="8.125" style="10" customWidth="1"/>
  </cols>
  <sheetData>
    <row r="1" spans="1:28" ht="18.75" customHeight="1" x14ac:dyDescent="0.25">
      <c r="K1" s="647" t="s">
        <v>335</v>
      </c>
      <c r="L1" s="647"/>
      <c r="M1" s="647"/>
      <c r="N1" s="647"/>
      <c r="O1" s="647"/>
      <c r="P1" s="649" t="s">
        <v>39</v>
      </c>
      <c r="Q1" s="649"/>
      <c r="R1" s="649"/>
      <c r="S1" s="649"/>
      <c r="T1" s="649"/>
      <c r="U1" s="649"/>
      <c r="V1" s="649"/>
      <c r="W1" s="75" t="s">
        <v>175</v>
      </c>
      <c r="X1" s="76">
        <v>9</v>
      </c>
      <c r="Y1" s="77" t="s">
        <v>176</v>
      </c>
      <c r="Z1" s="652" t="s">
        <v>517</v>
      </c>
      <c r="AA1" s="652"/>
      <c r="AB1" s="64"/>
    </row>
    <row r="2" spans="1:28" s="4" customFormat="1" ht="22.5" customHeight="1" thickBot="1" x14ac:dyDescent="0.25">
      <c r="B2" s="35"/>
      <c r="C2" s="36"/>
      <c r="E2" s="36"/>
      <c r="G2" s="36"/>
      <c r="I2" s="36"/>
      <c r="K2" s="648"/>
      <c r="L2" s="648"/>
      <c r="M2" s="648"/>
      <c r="N2" s="648"/>
      <c r="O2" s="648"/>
      <c r="P2" s="122"/>
      <c r="Q2" s="650" t="s">
        <v>221</v>
      </c>
      <c r="R2" s="650"/>
      <c r="S2" s="78" t="s">
        <v>496</v>
      </c>
      <c r="T2" s="650" t="s">
        <v>193</v>
      </c>
      <c r="U2" s="650"/>
      <c r="V2" s="651" t="s">
        <v>497</v>
      </c>
      <c r="W2" s="651"/>
      <c r="X2" s="79"/>
      <c r="Y2" s="80"/>
      <c r="Z2" s="81"/>
      <c r="AA2" s="82"/>
      <c r="AB2" s="83"/>
    </row>
    <row r="3" spans="1:28" s="37" customFormat="1" ht="12" thickTop="1" x14ac:dyDescent="0.2">
      <c r="A3" s="653"/>
      <c r="B3" s="654"/>
      <c r="C3" s="654"/>
      <c r="D3" s="654"/>
      <c r="E3" s="654"/>
      <c r="F3" s="654"/>
      <c r="G3" s="654"/>
      <c r="H3" s="654"/>
      <c r="I3" s="654"/>
      <c r="J3" s="654"/>
      <c r="K3" s="84" t="s">
        <v>40</v>
      </c>
      <c r="L3" s="85" t="s">
        <v>28</v>
      </c>
      <c r="M3" s="85" t="s">
        <v>3</v>
      </c>
      <c r="N3" s="655" t="s">
        <v>41</v>
      </c>
      <c r="O3" s="655"/>
      <c r="P3" s="655"/>
      <c r="Q3" s="655"/>
      <c r="R3" s="655"/>
      <c r="S3" s="655"/>
      <c r="T3" s="655"/>
      <c r="U3" s="655"/>
      <c r="V3" s="655"/>
      <c r="W3" s="655"/>
      <c r="X3" s="85" t="s">
        <v>42</v>
      </c>
      <c r="Y3" s="85" t="s">
        <v>192</v>
      </c>
      <c r="Z3" s="85" t="s">
        <v>43</v>
      </c>
      <c r="AA3" s="86" t="s">
        <v>191</v>
      </c>
      <c r="AB3" s="87" t="s">
        <v>177</v>
      </c>
    </row>
    <row r="4" spans="1:28" s="3" customFormat="1" ht="11.25" customHeight="1" x14ac:dyDescent="0.2">
      <c r="A4" s="111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1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1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1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1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1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1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1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1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1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640" t="s">
        <v>13</v>
      </c>
      <c r="L4" s="636" t="str">
        <f>IF(K4=0,0,VLOOKUP(K4,CBGV!$B$4:$M$70,12,0))</f>
        <v>11A4</v>
      </c>
      <c r="M4" s="54" t="s">
        <v>14</v>
      </c>
      <c r="N4" s="275" t="s">
        <v>31</v>
      </c>
      <c r="O4" s="276" t="s">
        <v>24</v>
      </c>
      <c r="P4" s="276" t="s">
        <v>124</v>
      </c>
      <c r="Q4" s="276"/>
      <c r="R4" s="277"/>
      <c r="S4" s="277"/>
      <c r="T4" s="277"/>
      <c r="U4" s="278"/>
      <c r="V4" s="278"/>
      <c r="W4" s="279"/>
      <c r="X4" s="636">
        <f>IF(K4=0,0,VLOOKUP(K4,CBGV!$B$4:$P$70,14,0))+IF(L4=0,0,VLOOKUP(L4,'T-L-K'!$B$7:$BH$36,2,0))</f>
        <v>5</v>
      </c>
      <c r="Y4" s="639">
        <f>SUM(A4:J6)</f>
        <v>13</v>
      </c>
      <c r="Z4" s="639">
        <f>SUM(A4:J6)+X4</f>
        <v>18</v>
      </c>
      <c r="AA4" s="636">
        <f>IF((Z4-(VLOOKUP(K4,CBGV!$B$4:$P$70,13,0)))&lt;=-14,"/",(Z4-(VLOOKUP(K4,CBGV!$B$4:$P$70,13,0))))</f>
        <v>1</v>
      </c>
      <c r="AB4" s="88" t="s">
        <v>44</v>
      </c>
    </row>
    <row r="5" spans="1:28" s="3" customFormat="1" ht="11.25" customHeight="1" x14ac:dyDescent="0.2">
      <c r="A5" s="111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1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1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1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1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1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1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1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1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1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641"/>
      <c r="L5" s="637"/>
      <c r="M5" s="55" t="s">
        <v>14</v>
      </c>
      <c r="N5" s="280"/>
      <c r="O5" s="281"/>
      <c r="P5" s="281"/>
      <c r="Q5" s="281"/>
      <c r="R5" s="282"/>
      <c r="S5" s="282"/>
      <c r="T5" s="282"/>
      <c r="U5" s="283"/>
      <c r="V5" s="283"/>
      <c r="W5" s="284"/>
      <c r="X5" s="637"/>
      <c r="Y5" s="637"/>
      <c r="Z5" s="637"/>
      <c r="AA5" s="637"/>
      <c r="AB5" s="88" t="s">
        <v>44</v>
      </c>
    </row>
    <row r="6" spans="1:28" s="3" customFormat="1" ht="11.25" customHeight="1" x14ac:dyDescent="0.2">
      <c r="A6" s="111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1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1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1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1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1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1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1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1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1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642"/>
      <c r="L6" s="638"/>
      <c r="M6" s="56" t="s">
        <v>308</v>
      </c>
      <c r="N6" s="285" t="s">
        <v>124</v>
      </c>
      <c r="O6" s="286"/>
      <c r="P6" s="286"/>
      <c r="Q6" s="286"/>
      <c r="R6" s="287"/>
      <c r="S6" s="287"/>
      <c r="T6" s="287"/>
      <c r="U6" s="288"/>
      <c r="V6" s="288"/>
      <c r="W6" s="289"/>
      <c r="X6" s="638"/>
      <c r="Y6" s="638"/>
      <c r="Z6" s="638"/>
      <c r="AA6" s="638"/>
      <c r="AB6" s="88" t="s">
        <v>44</v>
      </c>
    </row>
    <row r="7" spans="1:28" s="3" customFormat="1" ht="11.25" customHeight="1" x14ac:dyDescent="0.2">
      <c r="A7" s="111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1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1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1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1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1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1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1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1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1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633" t="s">
        <v>45</v>
      </c>
      <c r="L7" s="636" t="str">
        <f>IF(K7=0,0,VLOOKUP(K7,CBGV!$B$4:$M$70,12,0))</f>
        <v>12A4</v>
      </c>
      <c r="M7" s="57" t="s">
        <v>14</v>
      </c>
      <c r="N7" s="275" t="s">
        <v>140</v>
      </c>
      <c r="O7" s="276" t="s">
        <v>213</v>
      </c>
      <c r="P7" s="276"/>
      <c r="Q7" s="276"/>
      <c r="R7" s="277"/>
      <c r="S7" s="277"/>
      <c r="T7" s="277"/>
      <c r="U7" s="278"/>
      <c r="V7" s="278"/>
      <c r="W7" s="279"/>
      <c r="X7" s="643">
        <f>IF(K7=0,0,VLOOKUP(K7,CBGV!$B$4:$P$70,14,0))+IF(L7=0,0,VLOOKUP(L7,'T-L-K'!$B$7:$BH$36,2,0))</f>
        <v>8</v>
      </c>
      <c r="Y7" s="646">
        <f>SUM(A7:J9)</f>
        <v>9</v>
      </c>
      <c r="Z7" s="646">
        <f>SUM(A7:J9)+X7</f>
        <v>17</v>
      </c>
      <c r="AA7" s="643">
        <f>IF((Z7-(VLOOKUP(K7,CBGV!$B$4:$P$70,13,0)))&lt;=-14,"/",(Z7-(VLOOKUP(K7,CBGV!$B$4:$P$70,13,0))))</f>
        <v>0</v>
      </c>
      <c r="AB7" s="88" t="s">
        <v>44</v>
      </c>
    </row>
    <row r="8" spans="1:28" s="3" customFormat="1" ht="11.25" customHeight="1" x14ac:dyDescent="0.2">
      <c r="A8" s="111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1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1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1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1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1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1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1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1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1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634"/>
      <c r="L8" s="637"/>
      <c r="M8" s="51" t="s">
        <v>14</v>
      </c>
      <c r="N8" s="280"/>
      <c r="O8" s="281"/>
      <c r="P8" s="281"/>
      <c r="Q8" s="281"/>
      <c r="R8" s="282"/>
      <c r="S8" s="282"/>
      <c r="T8" s="282"/>
      <c r="U8" s="283"/>
      <c r="V8" s="283"/>
      <c r="W8" s="284"/>
      <c r="X8" s="644"/>
      <c r="Y8" s="644"/>
      <c r="Z8" s="644"/>
      <c r="AA8" s="644"/>
      <c r="AB8" s="88" t="s">
        <v>44</v>
      </c>
    </row>
    <row r="9" spans="1:28" s="3" customFormat="1" ht="11.25" customHeight="1" x14ac:dyDescent="0.2">
      <c r="A9" s="111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1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1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1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1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1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1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1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1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1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635"/>
      <c r="L9" s="638"/>
      <c r="M9" s="52" t="s">
        <v>308</v>
      </c>
      <c r="N9" s="285" t="s">
        <v>140</v>
      </c>
      <c r="O9" s="286"/>
      <c r="P9" s="286"/>
      <c r="Q9" s="286"/>
      <c r="R9" s="287"/>
      <c r="S9" s="287"/>
      <c r="T9" s="287"/>
      <c r="U9" s="288"/>
      <c r="V9" s="288"/>
      <c r="W9" s="289"/>
      <c r="X9" s="645"/>
      <c r="Y9" s="645"/>
      <c r="Z9" s="645"/>
      <c r="AA9" s="645"/>
      <c r="AB9" s="88" t="s">
        <v>44</v>
      </c>
    </row>
    <row r="10" spans="1:28" s="3" customFormat="1" ht="11.25" customHeight="1" x14ac:dyDescent="0.2">
      <c r="A10" s="111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1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1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1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1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1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1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1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1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1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640" t="s">
        <v>46</v>
      </c>
      <c r="L10" s="636">
        <f>IF(K10=0,0,VLOOKUP(K10,CBGV!$B$4:$M$70,12,0))</f>
        <v>0</v>
      </c>
      <c r="M10" s="54" t="s">
        <v>14</v>
      </c>
      <c r="N10" s="275" t="s">
        <v>173</v>
      </c>
      <c r="O10" s="276" t="s">
        <v>473</v>
      </c>
      <c r="P10" s="276" t="s">
        <v>203</v>
      </c>
      <c r="Q10" s="276"/>
      <c r="R10" s="277"/>
      <c r="S10" s="277"/>
      <c r="T10" s="277"/>
      <c r="U10" s="278"/>
      <c r="V10" s="278"/>
      <c r="W10" s="279"/>
      <c r="X10" s="636">
        <f>IF(K10=0,0,VLOOKUP(K10,CBGV!$B$4:$P$70,14,0))+IF(L10=0,0,VLOOKUP(L10,'T-L-K'!$B$7:$BH$36,2,0))</f>
        <v>4</v>
      </c>
      <c r="Y10" s="639">
        <f>SUM(A10:J12)</f>
        <v>12</v>
      </c>
      <c r="Z10" s="639">
        <f>SUM(A10:J12)+X10</f>
        <v>16</v>
      </c>
      <c r="AA10" s="636">
        <f>IF((Z10-(VLOOKUP(K10,CBGV!$B$4:$P$70,13,0)))&lt;=-14,"/",(Z10-(VLOOKUP(K10,CBGV!$B$4:$P$70,13,0))))</f>
        <v>-1</v>
      </c>
      <c r="AB10" s="88" t="s">
        <v>44</v>
      </c>
    </row>
    <row r="11" spans="1:28" s="3" customFormat="1" ht="11.25" customHeight="1" x14ac:dyDescent="0.2">
      <c r="A11" s="111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1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1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1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1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1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1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1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1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1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641"/>
      <c r="L11" s="637"/>
      <c r="M11" s="55" t="s">
        <v>14</v>
      </c>
      <c r="N11" s="280"/>
      <c r="O11" s="281"/>
      <c r="P11" s="281"/>
      <c r="Q11" s="281"/>
      <c r="R11" s="282"/>
      <c r="S11" s="282"/>
      <c r="T11" s="282"/>
      <c r="U11" s="283"/>
      <c r="V11" s="283"/>
      <c r="W11" s="284"/>
      <c r="X11" s="637"/>
      <c r="Y11" s="637"/>
      <c r="Z11" s="637"/>
      <c r="AA11" s="637"/>
      <c r="AB11" s="88" t="s">
        <v>44</v>
      </c>
    </row>
    <row r="12" spans="1:28" s="3" customFormat="1" ht="11.25" customHeight="1" x14ac:dyDescent="0.2">
      <c r="A12" s="111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1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1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1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1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1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1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1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1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1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642"/>
      <c r="L12" s="638"/>
      <c r="M12" s="56" t="s">
        <v>308</v>
      </c>
      <c r="N12" s="285"/>
      <c r="O12" s="286"/>
      <c r="P12" s="286"/>
      <c r="Q12" s="286"/>
      <c r="R12" s="287"/>
      <c r="S12" s="287"/>
      <c r="T12" s="287"/>
      <c r="U12" s="288"/>
      <c r="V12" s="288"/>
      <c r="W12" s="289"/>
      <c r="X12" s="638"/>
      <c r="Y12" s="638"/>
      <c r="Z12" s="638"/>
      <c r="AA12" s="638"/>
      <c r="AB12" s="88" t="s">
        <v>44</v>
      </c>
    </row>
    <row r="13" spans="1:28" s="3" customFormat="1" ht="11.25" customHeight="1" x14ac:dyDescent="0.2">
      <c r="A13" s="111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1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1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1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1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1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1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1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1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1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633" t="s">
        <v>47</v>
      </c>
      <c r="L13" s="636" t="str">
        <f>IF(K13=0,0,VLOOKUP(K13,CBGV!$B$4:$M$70,12,0))</f>
        <v>12A2</v>
      </c>
      <c r="M13" s="57" t="s">
        <v>14</v>
      </c>
      <c r="N13" s="275" t="s">
        <v>30</v>
      </c>
      <c r="O13" s="276" t="s">
        <v>214</v>
      </c>
      <c r="P13" s="276" t="s">
        <v>142</v>
      </c>
      <c r="Q13" s="276"/>
      <c r="R13" s="277"/>
      <c r="S13" s="277"/>
      <c r="T13" s="277"/>
      <c r="U13" s="278"/>
      <c r="V13" s="278"/>
      <c r="W13" s="279"/>
      <c r="X13" s="643">
        <f>IF(K13=0,0,VLOOKUP(K13,CBGV!$B$4:$P$70,14,0))+IF(L13=0,0,VLOOKUP(L13,'T-L-K'!$B$7:$BH$36,2,0))</f>
        <v>5</v>
      </c>
      <c r="Y13" s="646">
        <f>SUM(A13:J15)</f>
        <v>13</v>
      </c>
      <c r="Z13" s="646">
        <f>SUM(A13:J15)+X13</f>
        <v>18</v>
      </c>
      <c r="AA13" s="643">
        <f>IF((Z13-(VLOOKUP(K13,CBGV!$B$4:$P$70,13,0)))&lt;=-14,"/",(Z13-(VLOOKUP(K13,CBGV!$B$4:$P$70,13,0))))</f>
        <v>1</v>
      </c>
      <c r="AB13" s="88" t="s">
        <v>44</v>
      </c>
    </row>
    <row r="14" spans="1:28" s="3" customFormat="1" ht="11.25" customHeight="1" x14ac:dyDescent="0.2">
      <c r="A14" s="111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1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1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1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1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1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1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1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1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1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634"/>
      <c r="L14" s="637"/>
      <c r="M14" s="51" t="s">
        <v>14</v>
      </c>
      <c r="N14" s="280"/>
      <c r="O14" s="281"/>
      <c r="P14" s="281"/>
      <c r="Q14" s="281"/>
      <c r="R14" s="282"/>
      <c r="S14" s="282"/>
      <c r="T14" s="282"/>
      <c r="U14" s="283"/>
      <c r="V14" s="283"/>
      <c r="W14" s="284"/>
      <c r="X14" s="644"/>
      <c r="Y14" s="644"/>
      <c r="Z14" s="644"/>
      <c r="AA14" s="644"/>
      <c r="AB14" s="88" t="s">
        <v>44</v>
      </c>
    </row>
    <row r="15" spans="1:28" s="3" customFormat="1" ht="11.25" customHeight="1" x14ac:dyDescent="0.2">
      <c r="A15" s="111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1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1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1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1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1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1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1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1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1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635"/>
      <c r="L15" s="638"/>
      <c r="M15" s="52" t="s">
        <v>308</v>
      </c>
      <c r="N15" s="285" t="s">
        <v>30</v>
      </c>
      <c r="O15" s="286"/>
      <c r="P15" s="286"/>
      <c r="Q15" s="286"/>
      <c r="R15" s="287"/>
      <c r="S15" s="287"/>
      <c r="T15" s="287"/>
      <c r="U15" s="288"/>
      <c r="V15" s="288"/>
      <c r="W15" s="289"/>
      <c r="X15" s="645"/>
      <c r="Y15" s="645"/>
      <c r="Z15" s="645"/>
      <c r="AA15" s="645"/>
      <c r="AB15" s="88" t="s">
        <v>44</v>
      </c>
    </row>
    <row r="16" spans="1:28" s="3" customFormat="1" ht="11.25" customHeight="1" x14ac:dyDescent="0.2">
      <c r="A16" s="111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1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1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D16" s="111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1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1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1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1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1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1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640" t="s">
        <v>48</v>
      </c>
      <c r="L16" s="636">
        <f>IF(K16=0,0,VLOOKUP(K16,CBGV!$B$4:$M$70,12,0))</f>
        <v>0</v>
      </c>
      <c r="M16" s="54" t="s">
        <v>14</v>
      </c>
      <c r="N16" s="275" t="s">
        <v>196</v>
      </c>
      <c r="O16" s="276" t="s">
        <v>138</v>
      </c>
      <c r="P16" s="276" t="s">
        <v>202</v>
      </c>
      <c r="Q16" s="276"/>
      <c r="R16" s="277"/>
      <c r="S16" s="277"/>
      <c r="T16" s="277"/>
      <c r="U16" s="278"/>
      <c r="V16" s="278"/>
      <c r="W16" s="279"/>
      <c r="X16" s="636">
        <f>IF(K16=0,0,VLOOKUP(K16,CBGV!$B$4:$P$70,14,0))+IF(L16=0,0,VLOOKUP(L16,'T-L-K'!$B$7:$BH$36,2,0))</f>
        <v>0</v>
      </c>
      <c r="Y16" s="639">
        <f>SUM(A16:J18)</f>
        <v>16</v>
      </c>
      <c r="Z16" s="639">
        <f>SUM(A16:J18)+X16</f>
        <v>16</v>
      </c>
      <c r="AA16" s="636">
        <f>IF((Z16-(VLOOKUP(K16,CBGV!$B$4:$P$70,13,0)))&lt;=-14,"/",(Z16-(VLOOKUP(K16,CBGV!$B$4:$P$70,13,0))))</f>
        <v>-1</v>
      </c>
      <c r="AB16" s="88" t="s">
        <v>44</v>
      </c>
    </row>
    <row r="17" spans="1:28" s="3" customFormat="1" ht="11.25" customHeight="1" x14ac:dyDescent="0.2">
      <c r="A17" s="111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1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1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11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1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1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1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1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1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1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641"/>
      <c r="L17" s="637"/>
      <c r="M17" s="55" t="s">
        <v>22</v>
      </c>
      <c r="N17" s="280"/>
      <c r="O17" s="281" t="s">
        <v>142</v>
      </c>
      <c r="P17" s="281" t="s">
        <v>138</v>
      </c>
      <c r="Q17" s="281"/>
      <c r="R17" s="282"/>
      <c r="S17" s="282"/>
      <c r="T17" s="282"/>
      <c r="U17" s="283"/>
      <c r="V17" s="283"/>
      <c r="W17" s="284"/>
      <c r="X17" s="637"/>
      <c r="Y17" s="637"/>
      <c r="Z17" s="637"/>
      <c r="AA17" s="637"/>
      <c r="AB17" s="88" t="s">
        <v>44</v>
      </c>
    </row>
    <row r="18" spans="1:28" s="3" customFormat="1" ht="11.25" customHeight="1" x14ac:dyDescent="0.2">
      <c r="A18" s="111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11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1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1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1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1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1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1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1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1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642"/>
      <c r="L18" s="638"/>
      <c r="M18" s="56" t="s">
        <v>308</v>
      </c>
      <c r="N18" s="285"/>
      <c r="O18" s="286"/>
      <c r="P18" s="286"/>
      <c r="Q18" s="286"/>
      <c r="R18" s="287"/>
      <c r="S18" s="287"/>
      <c r="T18" s="287"/>
      <c r="U18" s="288"/>
      <c r="V18" s="288"/>
      <c r="W18" s="289"/>
      <c r="X18" s="638"/>
      <c r="Y18" s="638"/>
      <c r="Z18" s="638"/>
      <c r="AA18" s="638"/>
      <c r="AB18" s="88" t="s">
        <v>44</v>
      </c>
    </row>
    <row r="19" spans="1:28" s="3" customFormat="1" ht="11.25" customHeight="1" x14ac:dyDescent="0.2">
      <c r="A19" s="111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1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1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11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1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1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1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1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1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1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633" t="s">
        <v>49</v>
      </c>
      <c r="L19" s="636">
        <f>IF(K19=0,0,VLOOKUP(K19,CBGV!$B$4:$M$70,12,0))</f>
        <v>0</v>
      </c>
      <c r="M19" s="57" t="s">
        <v>14</v>
      </c>
      <c r="N19" s="275" t="s">
        <v>27</v>
      </c>
      <c r="O19" s="276" t="s">
        <v>215</v>
      </c>
      <c r="P19" s="276" t="s">
        <v>304</v>
      </c>
      <c r="Q19" s="276"/>
      <c r="R19" s="277"/>
      <c r="S19" s="277"/>
      <c r="T19" s="277"/>
      <c r="U19" s="278"/>
      <c r="V19" s="278"/>
      <c r="W19" s="279"/>
      <c r="X19" s="643">
        <f>IF(K19=0,0,VLOOKUP(K19,CBGV!$B$4:$P$70,14,0))+IF(L19=0,0,VLOOKUP(L19,'T-L-K'!$B$7:$BH$36,2,0))</f>
        <v>3</v>
      </c>
      <c r="Y19" s="646">
        <f>SUM(A19:J21)</f>
        <v>12</v>
      </c>
      <c r="Z19" s="646">
        <f>SUM(A19:J21)+X19</f>
        <v>15</v>
      </c>
      <c r="AA19" s="643">
        <f>IF((Z19-(VLOOKUP(K19,CBGV!$B$4:$P$70,13,0)))&lt;=-14,"/",(Z19-(VLOOKUP(K19,CBGV!$B$4:$P$70,13,0))))</f>
        <v>-2</v>
      </c>
      <c r="AB19" s="88" t="s">
        <v>44</v>
      </c>
    </row>
    <row r="20" spans="1:28" s="3" customFormat="1" ht="11.25" customHeight="1" x14ac:dyDescent="0.2">
      <c r="A20" s="111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1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1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1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1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1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1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1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1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1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634"/>
      <c r="L20" s="637"/>
      <c r="M20" s="51" t="s">
        <v>22</v>
      </c>
      <c r="N20" s="280"/>
      <c r="O20" s="281"/>
      <c r="P20" s="281" t="s">
        <v>304</v>
      </c>
      <c r="Q20" s="281"/>
      <c r="R20" s="282"/>
      <c r="S20" s="282"/>
      <c r="T20" s="282"/>
      <c r="U20" s="283"/>
      <c r="V20" s="283"/>
      <c r="W20" s="284"/>
      <c r="X20" s="644"/>
      <c r="Y20" s="644"/>
      <c r="Z20" s="644"/>
      <c r="AA20" s="644"/>
      <c r="AB20" s="88" t="s">
        <v>44</v>
      </c>
    </row>
    <row r="21" spans="1:28" s="3" customFormat="1" ht="11.25" customHeight="1" x14ac:dyDescent="0.2">
      <c r="A21" s="111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1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1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1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1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1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1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1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1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1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635"/>
      <c r="L21" s="638"/>
      <c r="M21" s="52" t="s">
        <v>308</v>
      </c>
      <c r="N21" s="285"/>
      <c r="O21" s="286"/>
      <c r="P21" s="286"/>
      <c r="Q21" s="286"/>
      <c r="R21" s="287"/>
      <c r="S21" s="287"/>
      <c r="T21" s="287"/>
      <c r="U21" s="288"/>
      <c r="V21" s="288"/>
      <c r="W21" s="289"/>
      <c r="X21" s="645"/>
      <c r="Y21" s="645"/>
      <c r="Z21" s="645"/>
      <c r="AA21" s="645"/>
      <c r="AB21" s="88" t="s">
        <v>44</v>
      </c>
    </row>
    <row r="22" spans="1:28" s="3" customFormat="1" ht="11.25" customHeight="1" x14ac:dyDescent="0.2">
      <c r="A22" s="111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B22" s="111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1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11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1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1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1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1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1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1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640" t="s">
        <v>50</v>
      </c>
      <c r="L22" s="636" t="str">
        <f>IF(K22=0,0,VLOOKUP(K22,CBGV!$B$4:$M$70,12,0))</f>
        <v>10A7</v>
      </c>
      <c r="M22" s="54" t="s">
        <v>14</v>
      </c>
      <c r="N22" s="275"/>
      <c r="O22" s="276" t="s">
        <v>121</v>
      </c>
      <c r="P22" s="276" t="s">
        <v>197</v>
      </c>
      <c r="Q22" s="276"/>
      <c r="R22" s="277"/>
      <c r="S22" s="277"/>
      <c r="T22" s="277"/>
      <c r="U22" s="278"/>
      <c r="V22" s="278"/>
      <c r="W22" s="279"/>
      <c r="X22" s="636">
        <f>IF(K22=0,0,VLOOKUP(K22,CBGV!$B$4:$P$70,14,0))+IF(L22=0,0,VLOOKUP(L22,'T-L-K'!$B$7:$BH$36,2,0))</f>
        <v>5</v>
      </c>
      <c r="Y22" s="639">
        <f>SUM(A22:J24)</f>
        <v>12</v>
      </c>
      <c r="Z22" s="639">
        <f>SUM(A22:J24)+X22</f>
        <v>17</v>
      </c>
      <c r="AA22" s="636">
        <f>IF((Z22-(VLOOKUP(K22,CBGV!$B$4:$P$70,13,0)))&lt;=-14,"/",(Z22-(VLOOKUP(K22,CBGV!$B$4:$P$70,13,0))))</f>
        <v>0</v>
      </c>
      <c r="AB22" s="88" t="s">
        <v>44</v>
      </c>
    </row>
    <row r="23" spans="1:28" s="3" customFormat="1" ht="11.25" customHeight="1" x14ac:dyDescent="0.2">
      <c r="A23" s="111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1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C23" s="111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1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1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1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1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1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1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1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641"/>
      <c r="L23" s="637"/>
      <c r="M23" s="55" t="s">
        <v>22</v>
      </c>
      <c r="N23" s="280"/>
      <c r="O23" s="281" t="s">
        <v>121</v>
      </c>
      <c r="P23" s="281" t="s">
        <v>197</v>
      </c>
      <c r="Q23" s="281"/>
      <c r="R23" s="282"/>
      <c r="S23" s="282"/>
      <c r="T23" s="282"/>
      <c r="U23" s="283"/>
      <c r="V23" s="283"/>
      <c r="W23" s="284"/>
      <c r="X23" s="637"/>
      <c r="Y23" s="637"/>
      <c r="Z23" s="637"/>
      <c r="AA23" s="637"/>
      <c r="AB23" s="88" t="s">
        <v>44</v>
      </c>
    </row>
    <row r="24" spans="1:28" s="3" customFormat="1" ht="11.25" customHeight="1" x14ac:dyDescent="0.2">
      <c r="A24" s="111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B24" s="111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1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1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1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1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1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1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1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1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642"/>
      <c r="L24" s="638"/>
      <c r="M24" s="56" t="s">
        <v>308</v>
      </c>
      <c r="N24" s="285"/>
      <c r="O24" s="286"/>
      <c r="P24" s="286"/>
      <c r="Q24" s="286"/>
      <c r="R24" s="287"/>
      <c r="S24" s="287"/>
      <c r="T24" s="287"/>
      <c r="U24" s="288"/>
      <c r="V24" s="288"/>
      <c r="W24" s="289"/>
      <c r="X24" s="638"/>
      <c r="Y24" s="638"/>
      <c r="Z24" s="638"/>
      <c r="AA24" s="638"/>
      <c r="AB24" s="88" t="s">
        <v>44</v>
      </c>
    </row>
    <row r="25" spans="1:28" s="3" customFormat="1" ht="11.25" customHeight="1" x14ac:dyDescent="0.2">
      <c r="A25" s="111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1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11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11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1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1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1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1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1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1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633" t="s">
        <v>51</v>
      </c>
      <c r="L25" s="636" t="str">
        <f>IF(K25=0,0,VLOOKUP(K25,CBGV!$B$4:$M$70,12,0))</f>
        <v>10A8</v>
      </c>
      <c r="M25" s="57" t="s">
        <v>14</v>
      </c>
      <c r="N25" s="275" t="s">
        <v>201</v>
      </c>
      <c r="O25" s="276"/>
      <c r="P25" s="276" t="s">
        <v>198</v>
      </c>
      <c r="Q25" s="276"/>
      <c r="R25" s="277"/>
      <c r="S25" s="277"/>
      <c r="T25" s="277"/>
      <c r="U25" s="278"/>
      <c r="V25" s="278"/>
      <c r="W25" s="279"/>
      <c r="X25" s="643">
        <f>IF(K25=0,0,VLOOKUP(K25,CBGV!$B$4:$P$70,14,0))+IF(L25=0,0,VLOOKUP(L25,'T-L-K'!$B$7:$BH$36,2,0))</f>
        <v>6</v>
      </c>
      <c r="Y25" s="646">
        <f>SUM(A25:J27)</f>
        <v>11</v>
      </c>
      <c r="Z25" s="646">
        <f>SUM(A25:J27)+X25</f>
        <v>17</v>
      </c>
      <c r="AA25" s="643">
        <f>IF((Z25-(VLOOKUP(K25,CBGV!$B$4:$P$70,13,0)))&lt;=-14,"/",(Z25-(VLOOKUP(K25,CBGV!$B$4:$P$70,13,0))))</f>
        <v>0</v>
      </c>
      <c r="AB25" s="88" t="s">
        <v>44</v>
      </c>
    </row>
    <row r="26" spans="1:28" s="3" customFormat="1" ht="11.25" customHeight="1" x14ac:dyDescent="0.2">
      <c r="A26" s="111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1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1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1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1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1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1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1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1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1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634"/>
      <c r="L26" s="637"/>
      <c r="M26" s="51" t="s">
        <v>22</v>
      </c>
      <c r="N26" s="280"/>
      <c r="O26" s="281"/>
      <c r="P26" s="281" t="s">
        <v>198</v>
      </c>
      <c r="Q26" s="281"/>
      <c r="R26" s="282"/>
      <c r="S26" s="282"/>
      <c r="T26" s="282"/>
      <c r="U26" s="283"/>
      <c r="V26" s="283"/>
      <c r="W26" s="284"/>
      <c r="X26" s="644"/>
      <c r="Y26" s="644"/>
      <c r="Z26" s="644"/>
      <c r="AA26" s="644"/>
      <c r="AB26" s="88" t="s">
        <v>44</v>
      </c>
    </row>
    <row r="27" spans="1:28" s="3" customFormat="1" ht="11.25" customHeight="1" x14ac:dyDescent="0.2">
      <c r="A27" s="111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1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1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1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1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1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1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1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1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1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635"/>
      <c r="L27" s="638"/>
      <c r="M27" s="52" t="s">
        <v>308</v>
      </c>
      <c r="N27" s="285" t="s">
        <v>198</v>
      </c>
      <c r="O27" s="286"/>
      <c r="P27" s="286"/>
      <c r="Q27" s="286"/>
      <c r="R27" s="287"/>
      <c r="S27" s="287"/>
      <c r="T27" s="287"/>
      <c r="U27" s="288"/>
      <c r="V27" s="288"/>
      <c r="W27" s="289"/>
      <c r="X27" s="645"/>
      <c r="Y27" s="645"/>
      <c r="Z27" s="645"/>
      <c r="AA27" s="645"/>
      <c r="AB27" s="88" t="s">
        <v>44</v>
      </c>
    </row>
    <row r="28" spans="1:28" s="3" customFormat="1" ht="11.25" customHeight="1" x14ac:dyDescent="0.2">
      <c r="A28" s="111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11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11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1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1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1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1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1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1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1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640" t="s">
        <v>53</v>
      </c>
      <c r="L28" s="636" t="str">
        <f>IF(K28=0,0,VLOOKUP(K28,CBGV!$B$4:$M$70,12,0))</f>
        <v>11A9</v>
      </c>
      <c r="M28" s="54" t="s">
        <v>14</v>
      </c>
      <c r="N28" s="275" t="s">
        <v>18</v>
      </c>
      <c r="O28" s="276" t="s">
        <v>204</v>
      </c>
      <c r="P28" s="276"/>
      <c r="Q28" s="276"/>
      <c r="R28" s="277"/>
      <c r="S28" s="277"/>
      <c r="T28" s="277"/>
      <c r="U28" s="278"/>
      <c r="V28" s="278"/>
      <c r="W28" s="279"/>
      <c r="X28" s="636">
        <f>IF(K28=0,0,VLOOKUP(K28,CBGV!$B$4:$P$70,14,0))+IF(L28=0,0,VLOOKUP(L28,'T-L-K'!$B$7:$BH$36,2,0))</f>
        <v>5</v>
      </c>
      <c r="Y28" s="639">
        <f>SUM(A28:J30)</f>
        <v>12</v>
      </c>
      <c r="Z28" s="639">
        <f>SUM(A28:J30)+X28</f>
        <v>17</v>
      </c>
      <c r="AA28" s="636">
        <f>IF((Z28-(VLOOKUP(K28,CBGV!$B$4:$P$70,13,0)))&lt;=-14,"/",(Z28-(VLOOKUP(K28,CBGV!$B$4:$P$70,13,0))))</f>
        <v>0</v>
      </c>
      <c r="AB28" s="88" t="s">
        <v>44</v>
      </c>
    </row>
    <row r="29" spans="1:28" s="3" customFormat="1" ht="11.25" customHeight="1" x14ac:dyDescent="0.2">
      <c r="A29" s="111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1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C29" s="111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11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11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1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1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1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1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1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641"/>
      <c r="L29" s="637"/>
      <c r="M29" s="55" t="s">
        <v>22</v>
      </c>
      <c r="N29" s="280"/>
      <c r="O29" s="281" t="s">
        <v>204</v>
      </c>
      <c r="P29" s="281"/>
      <c r="Q29" s="281"/>
      <c r="R29" s="282"/>
      <c r="S29" s="282"/>
      <c r="T29" s="282"/>
      <c r="U29" s="283"/>
      <c r="V29" s="283"/>
      <c r="W29" s="284"/>
      <c r="X29" s="637"/>
      <c r="Y29" s="637"/>
      <c r="Z29" s="637"/>
      <c r="AA29" s="637"/>
      <c r="AB29" s="88" t="s">
        <v>44</v>
      </c>
    </row>
    <row r="30" spans="1:28" s="3" customFormat="1" ht="11.25" customHeight="1" x14ac:dyDescent="0.2">
      <c r="A30" s="111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11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C30" s="111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1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1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1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1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1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1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1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642"/>
      <c r="L30" s="638"/>
      <c r="M30" s="56" t="s">
        <v>308</v>
      </c>
      <c r="N30" s="285" t="s">
        <v>204</v>
      </c>
      <c r="O30" s="286" t="s">
        <v>304</v>
      </c>
      <c r="P30" s="286"/>
      <c r="Q30" s="286"/>
      <c r="R30" s="287"/>
      <c r="S30" s="287"/>
      <c r="T30" s="287"/>
      <c r="U30" s="288"/>
      <c r="V30" s="288"/>
      <c r="W30" s="289"/>
      <c r="X30" s="638"/>
      <c r="Y30" s="638"/>
      <c r="Z30" s="638"/>
      <c r="AA30" s="638"/>
      <c r="AB30" s="88" t="s">
        <v>44</v>
      </c>
    </row>
    <row r="31" spans="1:28" s="3" customFormat="1" ht="11.25" customHeight="1" x14ac:dyDescent="0.2">
      <c r="A31" s="111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1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1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D31" s="111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1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1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1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1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1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1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633" t="s">
        <v>54</v>
      </c>
      <c r="L31" s="636">
        <f>IF(K31=0,0,VLOOKUP(K31,CBGV!$B$4:$M$70,12,0))</f>
        <v>0</v>
      </c>
      <c r="M31" s="57" t="s">
        <v>14</v>
      </c>
      <c r="N31" s="275" t="s">
        <v>21</v>
      </c>
      <c r="O31" s="276" t="s">
        <v>148</v>
      </c>
      <c r="P31" s="276" t="s">
        <v>116</v>
      </c>
      <c r="Q31" s="276"/>
      <c r="R31" s="277"/>
      <c r="S31" s="277"/>
      <c r="T31" s="277"/>
      <c r="U31" s="278"/>
      <c r="V31" s="278"/>
      <c r="W31" s="279"/>
      <c r="X31" s="643">
        <f>IF(K31=0,0,VLOOKUP(K31,CBGV!$B$4:$P$70,14,0))+IF(L31=0,0,VLOOKUP(L31,'T-L-K'!$B$7:$BH$36,2,0))</f>
        <v>0</v>
      </c>
      <c r="Y31" s="646">
        <f>SUM(A31:J33)</f>
        <v>17</v>
      </c>
      <c r="Z31" s="646">
        <f>SUM(A31:J33)+X31</f>
        <v>17</v>
      </c>
      <c r="AA31" s="643">
        <f>IF((Z31-(VLOOKUP(K31,CBGV!$B$4:$P$70,13,0)))&lt;=-14,"/",(Z31-(VLOOKUP(K31,CBGV!$B$4:$P$70,13,0))))</f>
        <v>0</v>
      </c>
      <c r="AB31" s="88" t="s">
        <v>44</v>
      </c>
    </row>
    <row r="32" spans="1:28" s="3" customFormat="1" ht="11.25" customHeight="1" x14ac:dyDescent="0.2">
      <c r="A32" s="111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B32" s="111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C32" s="111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11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1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1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1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1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1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1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634"/>
      <c r="L32" s="637"/>
      <c r="M32" s="51" t="s">
        <v>22</v>
      </c>
      <c r="N32" s="280" t="s">
        <v>148</v>
      </c>
      <c r="O32" s="281" t="s">
        <v>116</v>
      </c>
      <c r="P32" s="281"/>
      <c r="Q32" s="281"/>
      <c r="R32" s="282"/>
      <c r="S32" s="282"/>
      <c r="T32" s="282"/>
      <c r="U32" s="283"/>
      <c r="V32" s="283"/>
      <c r="W32" s="284"/>
      <c r="X32" s="644"/>
      <c r="Y32" s="644"/>
      <c r="Z32" s="644"/>
      <c r="AA32" s="644"/>
      <c r="AB32" s="88" t="s">
        <v>44</v>
      </c>
    </row>
    <row r="33" spans="1:28" s="3" customFormat="1" ht="11.25" customHeight="1" x14ac:dyDescent="0.2">
      <c r="A33" s="111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11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C33" s="111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1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1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1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1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1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1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1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635"/>
      <c r="L33" s="638"/>
      <c r="M33" s="52" t="s">
        <v>308</v>
      </c>
      <c r="N33" s="285"/>
      <c r="O33" s="286" t="s">
        <v>21</v>
      </c>
      <c r="P33" s="286"/>
      <c r="Q33" s="286"/>
      <c r="R33" s="287"/>
      <c r="S33" s="287"/>
      <c r="T33" s="287"/>
      <c r="U33" s="288"/>
      <c r="V33" s="288"/>
      <c r="W33" s="289"/>
      <c r="X33" s="645"/>
      <c r="Y33" s="645"/>
      <c r="Z33" s="645"/>
      <c r="AA33" s="645"/>
      <c r="AB33" s="88" t="s">
        <v>44</v>
      </c>
    </row>
    <row r="34" spans="1:28" s="3" customFormat="1" ht="11.25" customHeight="1" x14ac:dyDescent="0.2">
      <c r="A34" s="111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1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1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D34" s="111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1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1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1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1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1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1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640" t="s">
        <v>55</v>
      </c>
      <c r="L34" s="636">
        <f>IF(K34=0,0,VLOOKUP(K34,CBGV!$B$4:$M$70,12,0))</f>
        <v>0</v>
      </c>
      <c r="M34" s="54" t="s">
        <v>14</v>
      </c>
      <c r="N34" s="275" t="s">
        <v>20</v>
      </c>
      <c r="O34" s="276" t="s">
        <v>219</v>
      </c>
      <c r="P34" s="276"/>
      <c r="Q34" s="276"/>
      <c r="R34" s="277"/>
      <c r="S34" s="277"/>
      <c r="T34" s="277"/>
      <c r="U34" s="278"/>
      <c r="V34" s="278"/>
      <c r="W34" s="279"/>
      <c r="X34" s="636">
        <f>IF(K34=0,0,VLOOKUP(K34,CBGV!$B$4:$P$70,14,0))+IF(L34=0,0,VLOOKUP(L34,'T-L-K'!$B$7:$BH$36,2,0))</f>
        <v>0</v>
      </c>
      <c r="Y34" s="639">
        <f>SUM(A34:J36)</f>
        <v>16</v>
      </c>
      <c r="Z34" s="639">
        <f>SUM(A34:J36)+X34</f>
        <v>16</v>
      </c>
      <c r="AA34" s="636">
        <f>IF((Z34-(VLOOKUP(K34,CBGV!$B$4:$P$70,13,0)))&lt;=-14,"/",(Z34-(VLOOKUP(K34,CBGV!$B$4:$P$70,13,0))))</f>
        <v>-1</v>
      </c>
      <c r="AB34" s="88" t="s">
        <v>44</v>
      </c>
    </row>
    <row r="35" spans="1:28" s="3" customFormat="1" ht="11.25" customHeight="1" x14ac:dyDescent="0.2">
      <c r="A35" s="111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11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11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D35" s="111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E35" s="111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11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11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1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1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1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641"/>
      <c r="L35" s="637"/>
      <c r="M35" s="55" t="s">
        <v>22</v>
      </c>
      <c r="N35" s="280" t="s">
        <v>203</v>
      </c>
      <c r="O35" s="281" t="s">
        <v>124</v>
      </c>
      <c r="P35" s="281" t="s">
        <v>201</v>
      </c>
      <c r="Q35" s="281" t="s">
        <v>24</v>
      </c>
      <c r="R35" s="282"/>
      <c r="S35" s="282"/>
      <c r="T35" s="282"/>
      <c r="U35" s="283"/>
      <c r="V35" s="283"/>
      <c r="W35" s="284"/>
      <c r="X35" s="637"/>
      <c r="Y35" s="637"/>
      <c r="Z35" s="637"/>
      <c r="AA35" s="637"/>
      <c r="AB35" s="88" t="s">
        <v>44</v>
      </c>
    </row>
    <row r="36" spans="1:28" s="3" customFormat="1" ht="11.25" customHeight="1" x14ac:dyDescent="0.2">
      <c r="A36" s="111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11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11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1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1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1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1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1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1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1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642"/>
      <c r="L36" s="638"/>
      <c r="M36" s="56" t="s">
        <v>308</v>
      </c>
      <c r="N36" s="285"/>
      <c r="O36" s="286"/>
      <c r="P36" s="286"/>
      <c r="Q36" s="286"/>
      <c r="R36" s="287"/>
      <c r="S36" s="287"/>
      <c r="T36" s="287"/>
      <c r="U36" s="288"/>
      <c r="V36" s="288"/>
      <c r="W36" s="289"/>
      <c r="X36" s="638"/>
      <c r="Y36" s="638"/>
      <c r="Z36" s="638"/>
      <c r="AA36" s="638"/>
      <c r="AB36" s="88" t="s">
        <v>44</v>
      </c>
    </row>
    <row r="37" spans="1:28" s="3" customFormat="1" ht="11.25" customHeight="1" x14ac:dyDescent="0.2">
      <c r="A37" s="111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B37" s="111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C37" s="111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D37" s="111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E37" s="111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F37" s="111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G37" s="111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H37" s="111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I37" s="111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1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633" t="s">
        <v>236</v>
      </c>
      <c r="L37" s="636">
        <f>IF(K37=0,0,VLOOKUP(K37,CBGV!$B$4:$M$70,12,0))</f>
        <v>0</v>
      </c>
      <c r="M37" s="57" t="s">
        <v>22</v>
      </c>
      <c r="N37" s="275" t="s">
        <v>27</v>
      </c>
      <c r="O37" s="276" t="s">
        <v>30</v>
      </c>
      <c r="P37" s="276" t="s">
        <v>140</v>
      </c>
      <c r="Q37" s="276" t="s">
        <v>173</v>
      </c>
      <c r="R37" s="277" t="s">
        <v>213</v>
      </c>
      <c r="S37" s="277" t="s">
        <v>214</v>
      </c>
      <c r="T37" s="277" t="s">
        <v>215</v>
      </c>
      <c r="U37" s="278" t="s">
        <v>219</v>
      </c>
      <c r="V37" s="278"/>
      <c r="W37" s="279"/>
      <c r="X37" s="643">
        <f>IF(K37=0,0,VLOOKUP(K37,CBGV!$B$4:$P$70,14,0))+IF(L37=0,0,VLOOKUP(L37,'T-L-K'!$B$7:$BH$36,2,0))</f>
        <v>1</v>
      </c>
      <c r="Y37" s="646">
        <f>SUM(A37:J39)</f>
        <v>16</v>
      </c>
      <c r="Z37" s="646">
        <f>SUM(A37:J39)+X37</f>
        <v>17</v>
      </c>
      <c r="AA37" s="643">
        <f>IF((Z37-(VLOOKUP(K37,CBGV!$B$4:$P$70,13,0)))&lt;=-14,"/",(Z37-(VLOOKUP(K37,CBGV!$B$4:$P$70,13,0))))</f>
        <v>0</v>
      </c>
      <c r="AB37" s="88" t="s">
        <v>44</v>
      </c>
    </row>
    <row r="38" spans="1:28" s="3" customFormat="1" ht="11.25" customHeight="1" x14ac:dyDescent="0.2">
      <c r="A38" s="111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11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11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D38" s="111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11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1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1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1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1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1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634"/>
      <c r="L38" s="637"/>
      <c r="M38" s="51" t="s">
        <v>22</v>
      </c>
      <c r="N38" s="280"/>
      <c r="O38" s="281"/>
      <c r="P38" s="281"/>
      <c r="Q38" s="281"/>
      <c r="R38" s="282"/>
      <c r="S38" s="282"/>
      <c r="T38" s="282"/>
      <c r="U38" s="283"/>
      <c r="V38" s="283"/>
      <c r="W38" s="284"/>
      <c r="X38" s="644"/>
      <c r="Y38" s="644"/>
      <c r="Z38" s="644"/>
      <c r="AA38" s="644"/>
      <c r="AB38" s="88" t="s">
        <v>44</v>
      </c>
    </row>
    <row r="39" spans="1:28" s="3" customFormat="1" ht="11.25" customHeight="1" x14ac:dyDescent="0.2">
      <c r="A39" s="111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B39" s="111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1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1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1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1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1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1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1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1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635"/>
      <c r="L39" s="638"/>
      <c r="M39" s="52" t="s">
        <v>308</v>
      </c>
      <c r="N39" s="285"/>
      <c r="O39" s="286"/>
      <c r="P39" s="286"/>
      <c r="Q39" s="286"/>
      <c r="R39" s="287"/>
      <c r="S39" s="287"/>
      <c r="T39" s="287"/>
      <c r="U39" s="288"/>
      <c r="V39" s="288"/>
      <c r="W39" s="289"/>
      <c r="X39" s="645"/>
      <c r="Y39" s="645"/>
      <c r="Z39" s="645"/>
      <c r="AA39" s="645"/>
      <c r="AB39" s="88" t="s">
        <v>44</v>
      </c>
    </row>
    <row r="40" spans="1:28" s="3" customFormat="1" ht="11.25" customHeight="1" x14ac:dyDescent="0.2">
      <c r="A40" s="111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1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1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1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1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F40" s="111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G40" s="111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11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11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1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640" t="s">
        <v>57</v>
      </c>
      <c r="L40" s="636">
        <f>IF(K40=0,0,VLOOKUP(K40,CBGV!$B$4:$M$70,12,0))</f>
        <v>0</v>
      </c>
      <c r="M40" s="54" t="s">
        <v>178</v>
      </c>
      <c r="N40" s="275" t="s">
        <v>18</v>
      </c>
      <c r="O40" s="276" t="s">
        <v>304</v>
      </c>
      <c r="P40" s="276" t="s">
        <v>31</v>
      </c>
      <c r="Q40" s="276" t="s">
        <v>196</v>
      </c>
      <c r="R40" s="277"/>
      <c r="S40" s="277"/>
      <c r="T40" s="277"/>
      <c r="U40" s="278"/>
      <c r="V40" s="278"/>
      <c r="W40" s="279"/>
      <c r="X40" s="636">
        <f>IF(K40=0,0,VLOOKUP(K40,CBGV!$B$4:$P$70,14,0))+IF(L40=0,0,VLOOKUP(L40,'T-L-K'!$B$7:$BH$36,2,0))</f>
        <v>5</v>
      </c>
      <c r="Y40" s="639">
        <f>SUM(A40:J42)</f>
        <v>12</v>
      </c>
      <c r="Z40" s="639">
        <f>SUM(A40:J42)+X40</f>
        <v>17</v>
      </c>
      <c r="AA40" s="636">
        <f>IF((Z40-(VLOOKUP(K40,CBGV!$B$4:$P$70,13,0)))&lt;=-14,"/",(Z40-(VLOOKUP(K40,CBGV!$B$4:$P$70,13,0))))</f>
        <v>0</v>
      </c>
      <c r="AB40" s="88" t="s">
        <v>23</v>
      </c>
    </row>
    <row r="41" spans="1:28" s="3" customFormat="1" ht="11.25" customHeight="1" x14ac:dyDescent="0.2">
      <c r="A41" s="111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11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11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11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11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11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1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1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1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1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641"/>
      <c r="L41" s="637"/>
      <c r="M41" s="55" t="s">
        <v>325</v>
      </c>
      <c r="N41" s="280" t="s">
        <v>18</v>
      </c>
      <c r="O41" s="281" t="s">
        <v>196</v>
      </c>
      <c r="P41" s="281"/>
      <c r="Q41" s="281"/>
      <c r="R41" s="282"/>
      <c r="S41" s="282"/>
      <c r="T41" s="282"/>
      <c r="U41" s="283"/>
      <c r="V41" s="283"/>
      <c r="W41" s="284"/>
      <c r="X41" s="637"/>
      <c r="Y41" s="637"/>
      <c r="Z41" s="637"/>
      <c r="AA41" s="637"/>
      <c r="AB41" s="88" t="s">
        <v>23</v>
      </c>
    </row>
    <row r="42" spans="1:28" s="3" customFormat="1" ht="11.25" customHeight="1" x14ac:dyDescent="0.2">
      <c r="A42" s="111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1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1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1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1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1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1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1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1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1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642"/>
      <c r="L42" s="638"/>
      <c r="M42" s="56" t="s">
        <v>308</v>
      </c>
      <c r="N42" s="285"/>
      <c r="O42" s="286"/>
      <c r="P42" s="286"/>
      <c r="Q42" s="286"/>
      <c r="R42" s="287"/>
      <c r="S42" s="287"/>
      <c r="T42" s="287"/>
      <c r="U42" s="288"/>
      <c r="V42" s="288"/>
      <c r="W42" s="289"/>
      <c r="X42" s="638"/>
      <c r="Y42" s="638"/>
      <c r="Z42" s="638"/>
      <c r="AA42" s="638"/>
      <c r="AB42" s="88" t="s">
        <v>23</v>
      </c>
    </row>
    <row r="43" spans="1:28" s="3" customFormat="1" ht="11.25" customHeight="1" x14ac:dyDescent="0.2">
      <c r="A43" s="111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1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C43" s="111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D43" s="111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E43" s="111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1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1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1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1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1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633" t="s">
        <v>58</v>
      </c>
      <c r="L43" s="636" t="str">
        <f>IF(K43=0,0,VLOOKUP(K43,CBGV!$B$4:$M$70,12,0))</f>
        <v>12A9</v>
      </c>
      <c r="M43" s="57" t="s">
        <v>178</v>
      </c>
      <c r="N43" s="275" t="s">
        <v>30</v>
      </c>
      <c r="O43" s="276" t="s">
        <v>219</v>
      </c>
      <c r="P43" s="276" t="s">
        <v>148</v>
      </c>
      <c r="Q43" s="276"/>
      <c r="R43" s="277"/>
      <c r="S43" s="277"/>
      <c r="T43" s="277"/>
      <c r="U43" s="278"/>
      <c r="V43" s="278"/>
      <c r="W43" s="279"/>
      <c r="X43" s="643">
        <f>IF(K43=0,0,VLOOKUP(K43,CBGV!$B$4:$P$70,14,0))+IF(L43=0,0,VLOOKUP(L43,'T-L-K'!$B$7:$BH$36,2,0))</f>
        <v>5</v>
      </c>
      <c r="Y43" s="646">
        <f>SUM(A43:J45)</f>
        <v>12</v>
      </c>
      <c r="Z43" s="646">
        <f>SUM(A43:J45)+X43</f>
        <v>17</v>
      </c>
      <c r="AA43" s="643">
        <f>IF((Z43-(VLOOKUP(K43,CBGV!$B$4:$P$70,13,0)))&lt;=-14,"/",(Z43-(VLOOKUP(K43,CBGV!$B$4:$P$70,13,0))))</f>
        <v>0</v>
      </c>
      <c r="AB43" s="88" t="s">
        <v>23</v>
      </c>
    </row>
    <row r="44" spans="1:28" s="3" customFormat="1" ht="11.25" customHeight="1" x14ac:dyDescent="0.2">
      <c r="A44" s="111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B44" s="111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1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11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1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1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1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1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1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1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634"/>
      <c r="L44" s="637"/>
      <c r="M44" s="51" t="s">
        <v>325</v>
      </c>
      <c r="N44" s="280"/>
      <c r="O44" s="281" t="s">
        <v>173</v>
      </c>
      <c r="P44" s="281" t="s">
        <v>116</v>
      </c>
      <c r="Q44" s="281"/>
      <c r="R44" s="282"/>
      <c r="S44" s="282"/>
      <c r="T44" s="282"/>
      <c r="U44" s="283"/>
      <c r="V44" s="283"/>
      <c r="W44" s="284"/>
      <c r="X44" s="644"/>
      <c r="Y44" s="644"/>
      <c r="Z44" s="644"/>
      <c r="AA44" s="644"/>
      <c r="AB44" s="88" t="s">
        <v>23</v>
      </c>
    </row>
    <row r="45" spans="1:28" s="3" customFormat="1" ht="11.25" customHeight="1" x14ac:dyDescent="0.2">
      <c r="A45" s="111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1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1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1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1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1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1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1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1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1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635"/>
      <c r="L45" s="638"/>
      <c r="M45" s="52" t="s">
        <v>308</v>
      </c>
      <c r="N45" s="285"/>
      <c r="O45" s="286"/>
      <c r="P45" s="286"/>
      <c r="Q45" s="286"/>
      <c r="R45" s="287"/>
      <c r="S45" s="287"/>
      <c r="T45" s="287"/>
      <c r="U45" s="288"/>
      <c r="V45" s="288"/>
      <c r="W45" s="289"/>
      <c r="X45" s="645"/>
      <c r="Y45" s="645"/>
      <c r="Z45" s="645"/>
      <c r="AA45" s="645"/>
      <c r="AB45" s="88" t="s">
        <v>23</v>
      </c>
    </row>
    <row r="46" spans="1:28" s="3" customFormat="1" ht="11.25" customHeight="1" x14ac:dyDescent="0.2">
      <c r="A46" s="111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B46" s="111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1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D46" s="111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1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1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1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1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1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1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640" t="s">
        <v>59</v>
      </c>
      <c r="L46" s="636" t="str">
        <f>IF(K46=0,0,VLOOKUP(K46,CBGV!$B$4:$M$70,12,0))</f>
        <v>10A4</v>
      </c>
      <c r="M46" s="54" t="s">
        <v>178</v>
      </c>
      <c r="N46" s="275" t="s">
        <v>124</v>
      </c>
      <c r="O46" s="276" t="s">
        <v>121</v>
      </c>
      <c r="P46" s="276" t="s">
        <v>21</v>
      </c>
      <c r="Q46" s="276"/>
      <c r="R46" s="277"/>
      <c r="S46" s="277"/>
      <c r="T46" s="277"/>
      <c r="U46" s="278"/>
      <c r="V46" s="278"/>
      <c r="W46" s="279"/>
      <c r="X46" s="636">
        <f>IF(K46=0,0,VLOOKUP(K46,CBGV!$B$4:$P$70,14,0))+IF(L46=0,0,VLOOKUP(L46,'T-L-K'!$B$7:$BH$36,2,0))</f>
        <v>5</v>
      </c>
      <c r="Y46" s="639">
        <f>SUM(A46:J48)</f>
        <v>12</v>
      </c>
      <c r="Z46" s="639">
        <f>SUM(A46:J48)+X46</f>
        <v>17</v>
      </c>
      <c r="AA46" s="636">
        <f>IF((Z46-(VLOOKUP(K46,CBGV!$B$4:$P$70,13,0)))&lt;=-14,"/",(Z46-(VLOOKUP(K46,CBGV!$B$4:$P$70,13,0))))</f>
        <v>0</v>
      </c>
      <c r="AB46" s="88" t="s">
        <v>23</v>
      </c>
    </row>
    <row r="47" spans="1:28" s="3" customFormat="1" ht="11.25" customHeight="1" x14ac:dyDescent="0.2">
      <c r="A47" s="111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11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1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D47" s="111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1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1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1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1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1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1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641"/>
      <c r="L47" s="637"/>
      <c r="M47" s="55" t="s">
        <v>325</v>
      </c>
      <c r="N47" s="280" t="s">
        <v>21</v>
      </c>
      <c r="O47" s="281" t="s">
        <v>121</v>
      </c>
      <c r="P47" s="281"/>
      <c r="Q47" s="281"/>
      <c r="R47" s="282"/>
      <c r="S47" s="282"/>
      <c r="T47" s="282"/>
      <c r="U47" s="283"/>
      <c r="V47" s="283"/>
      <c r="W47" s="284"/>
      <c r="X47" s="637"/>
      <c r="Y47" s="637"/>
      <c r="Z47" s="637"/>
      <c r="AA47" s="637"/>
      <c r="AB47" s="88" t="s">
        <v>23</v>
      </c>
    </row>
    <row r="48" spans="1:28" s="3" customFormat="1" ht="11.25" customHeight="1" x14ac:dyDescent="0.2">
      <c r="A48" s="111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11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1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1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1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1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1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1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1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1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642"/>
      <c r="L48" s="638"/>
      <c r="M48" s="56" t="s">
        <v>308</v>
      </c>
      <c r="N48" s="285"/>
      <c r="O48" s="286"/>
      <c r="P48" s="286"/>
      <c r="Q48" s="286"/>
      <c r="R48" s="287"/>
      <c r="S48" s="287"/>
      <c r="T48" s="287"/>
      <c r="U48" s="288"/>
      <c r="V48" s="288"/>
      <c r="W48" s="289"/>
      <c r="X48" s="638"/>
      <c r="Y48" s="638"/>
      <c r="Z48" s="638"/>
      <c r="AA48" s="638"/>
      <c r="AB48" s="88" t="s">
        <v>23</v>
      </c>
    </row>
    <row r="49" spans="1:28" s="3" customFormat="1" ht="11.25" customHeight="1" x14ac:dyDescent="0.2">
      <c r="A49" s="111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1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C49" s="111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11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1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1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1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1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1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1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633" t="s">
        <v>60</v>
      </c>
      <c r="L49" s="636" t="str">
        <f>IF(K49=0,0,VLOOKUP(K49,CBGV!$B$4:$M$70,12,0))</f>
        <v>11A8</v>
      </c>
      <c r="M49" s="57" t="s">
        <v>178</v>
      </c>
      <c r="N49" s="275" t="s">
        <v>142</v>
      </c>
      <c r="O49" s="276" t="s">
        <v>203</v>
      </c>
      <c r="P49" s="276" t="s">
        <v>197</v>
      </c>
      <c r="Q49" s="276"/>
      <c r="R49" s="277"/>
      <c r="S49" s="277"/>
      <c r="T49" s="277"/>
      <c r="U49" s="278"/>
      <c r="V49" s="278"/>
      <c r="W49" s="279"/>
      <c r="X49" s="643">
        <f>IF(K49=0,0,VLOOKUP(K49,CBGV!$B$4:$P$70,14,0))+IF(L49=0,0,VLOOKUP(L49,'T-L-K'!$B$7:$BH$36,2,0))</f>
        <v>5</v>
      </c>
      <c r="Y49" s="646">
        <f>SUM(A49:J51)</f>
        <v>11</v>
      </c>
      <c r="Z49" s="646">
        <f>SUM(A49:J51)+X49</f>
        <v>16</v>
      </c>
      <c r="AA49" s="643">
        <f>IF((Z49-(VLOOKUP(K49,CBGV!$B$4:$P$70,13,0)))&lt;=-14,"/",(Z49-(VLOOKUP(K49,CBGV!$B$4:$P$70,13,0))))</f>
        <v>-1</v>
      </c>
      <c r="AB49" s="88" t="s">
        <v>23</v>
      </c>
    </row>
    <row r="50" spans="1:28" ht="11.25" customHeight="1" x14ac:dyDescent="0.25">
      <c r="A50" s="111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1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1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1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1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1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1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1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1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1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634"/>
      <c r="L50" s="637"/>
      <c r="M50" s="51" t="s">
        <v>325</v>
      </c>
      <c r="N50" s="280" t="s">
        <v>142</v>
      </c>
      <c r="O50" s="281" t="s">
        <v>201</v>
      </c>
      <c r="P50" s="281"/>
      <c r="Q50" s="281"/>
      <c r="R50" s="282"/>
      <c r="S50" s="282"/>
      <c r="T50" s="282"/>
      <c r="U50" s="283"/>
      <c r="V50" s="283"/>
      <c r="W50" s="284"/>
      <c r="X50" s="644"/>
      <c r="Y50" s="644"/>
      <c r="Z50" s="644"/>
      <c r="AA50" s="644"/>
      <c r="AB50" s="88" t="s">
        <v>23</v>
      </c>
    </row>
    <row r="51" spans="1:28" ht="11.25" customHeight="1" x14ac:dyDescent="0.25">
      <c r="A51" s="111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11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1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1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1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1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1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1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1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1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635"/>
      <c r="L51" s="638"/>
      <c r="M51" s="52" t="s">
        <v>308</v>
      </c>
      <c r="N51" s="285"/>
      <c r="O51" s="286"/>
      <c r="P51" s="286"/>
      <c r="Q51" s="286"/>
      <c r="R51" s="287"/>
      <c r="S51" s="287"/>
      <c r="T51" s="287"/>
      <c r="U51" s="288"/>
      <c r="V51" s="288"/>
      <c r="W51" s="289"/>
      <c r="X51" s="645"/>
      <c r="Y51" s="645"/>
      <c r="Z51" s="645"/>
      <c r="AA51" s="645"/>
      <c r="AB51" s="88" t="s">
        <v>23</v>
      </c>
    </row>
    <row r="52" spans="1:28" ht="11.25" customHeight="1" x14ac:dyDescent="0.25">
      <c r="A52" s="111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B52" s="111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11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D52" s="111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1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1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1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1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1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1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640" t="s">
        <v>61</v>
      </c>
      <c r="L52" s="636" t="str">
        <f>IF(K52=0,0,VLOOKUP(K52,CBGV!$B$4:$M$70,12,0))</f>
        <v>12A7</v>
      </c>
      <c r="M52" s="54" t="s">
        <v>178</v>
      </c>
      <c r="N52" s="275" t="s">
        <v>27</v>
      </c>
      <c r="O52" s="276" t="s">
        <v>20</v>
      </c>
      <c r="P52" s="276" t="s">
        <v>214</v>
      </c>
      <c r="Q52" s="276"/>
      <c r="R52" s="277"/>
      <c r="S52" s="277"/>
      <c r="T52" s="277"/>
      <c r="U52" s="278"/>
      <c r="V52" s="278"/>
      <c r="W52" s="279"/>
      <c r="X52" s="636">
        <f>IF(K52=0,0,VLOOKUP(K52,CBGV!$B$4:$P$70,14,0))+IF(L52=0,0,VLOOKUP(L52,'T-L-K'!$B$7:$BH$36,2,0))</f>
        <v>5</v>
      </c>
      <c r="Y52" s="639">
        <f>SUM(A52:J54)</f>
        <v>11</v>
      </c>
      <c r="Z52" s="639">
        <f>SUM(A52:J54)+X52</f>
        <v>16</v>
      </c>
      <c r="AA52" s="636">
        <f>IF((Z52-(VLOOKUP(K52,CBGV!$B$4:$P$70,13,0)))&lt;=-14,"/",(Z52-(VLOOKUP(K52,CBGV!$B$4:$P$70,13,0))))</f>
        <v>-1</v>
      </c>
      <c r="AB52" s="88" t="s">
        <v>23</v>
      </c>
    </row>
    <row r="53" spans="1:28" ht="11.25" customHeight="1" x14ac:dyDescent="0.25">
      <c r="A53" s="111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11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11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1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1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1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1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1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1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1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641"/>
      <c r="L53" s="637"/>
      <c r="M53" s="55" t="s">
        <v>325</v>
      </c>
      <c r="N53" s="280" t="s">
        <v>20</v>
      </c>
      <c r="O53" s="281" t="s">
        <v>214</v>
      </c>
      <c r="P53" s="281"/>
      <c r="Q53" s="281"/>
      <c r="R53" s="282"/>
      <c r="S53" s="282"/>
      <c r="T53" s="282"/>
      <c r="U53" s="283"/>
      <c r="V53" s="283"/>
      <c r="W53" s="284"/>
      <c r="X53" s="637"/>
      <c r="Y53" s="637"/>
      <c r="Z53" s="637"/>
      <c r="AA53" s="637"/>
      <c r="AB53" s="88" t="s">
        <v>23</v>
      </c>
    </row>
    <row r="54" spans="1:28" ht="11.25" customHeight="1" x14ac:dyDescent="0.25">
      <c r="A54" s="111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11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1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1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1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1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1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1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1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1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642"/>
      <c r="L54" s="638"/>
      <c r="M54" s="56" t="s">
        <v>308</v>
      </c>
      <c r="N54" s="285"/>
      <c r="O54" s="286"/>
      <c r="P54" s="286"/>
      <c r="Q54" s="286"/>
      <c r="R54" s="287"/>
      <c r="S54" s="287"/>
      <c r="T54" s="287"/>
      <c r="U54" s="288"/>
      <c r="V54" s="288"/>
      <c r="W54" s="289"/>
      <c r="X54" s="638"/>
      <c r="Y54" s="638"/>
      <c r="Z54" s="638"/>
      <c r="AA54" s="638"/>
      <c r="AB54" s="88" t="s">
        <v>23</v>
      </c>
    </row>
    <row r="55" spans="1:28" ht="11.25" customHeight="1" x14ac:dyDescent="0.25">
      <c r="A55" s="111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B55" s="111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11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D55" s="111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1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1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1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1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1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1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633" t="s">
        <v>62</v>
      </c>
      <c r="L55" s="636">
        <f>IF(K55=0,0,VLOOKUP(K55,CBGV!$B$4:$M$70,12,0))</f>
        <v>0</v>
      </c>
      <c r="M55" s="57" t="s">
        <v>178</v>
      </c>
      <c r="N55" s="275" t="s">
        <v>213</v>
      </c>
      <c r="O55" s="276" t="s">
        <v>215</v>
      </c>
      <c r="P55" s="276" t="s">
        <v>473</v>
      </c>
      <c r="Q55" s="276"/>
      <c r="R55" s="277"/>
      <c r="S55" s="277"/>
      <c r="T55" s="277"/>
      <c r="U55" s="278"/>
      <c r="V55" s="278"/>
      <c r="W55" s="279"/>
      <c r="X55" s="643">
        <f>IF(K55=0,0,VLOOKUP(K55,CBGV!$B$4:$P$70,14,0))+IF(L55=0,0,VLOOKUP(L55,'T-L-K'!$B$7:$BH$36,2,0))</f>
        <v>0</v>
      </c>
      <c r="Y55" s="646">
        <f>SUM(A55:J57)</f>
        <v>14</v>
      </c>
      <c r="Z55" s="646">
        <f>SUM(A55:J57)+X55</f>
        <v>14</v>
      </c>
      <c r="AA55" s="643">
        <f>IF((Z55-(VLOOKUP(K55,CBGV!$B$4:$P$70,13,0)))&lt;=-14,"/",(Z55-(VLOOKUP(K55,CBGV!$B$4:$P$70,13,0))))</f>
        <v>-3</v>
      </c>
      <c r="AB55" s="88" t="s">
        <v>23</v>
      </c>
    </row>
    <row r="56" spans="1:28" ht="11.25" customHeight="1" x14ac:dyDescent="0.25">
      <c r="A56" s="111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1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1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D56" s="111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1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1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1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1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1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1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634"/>
      <c r="L56" s="637"/>
      <c r="M56" s="51" t="s">
        <v>325</v>
      </c>
      <c r="N56" s="280" t="s">
        <v>213</v>
      </c>
      <c r="O56" s="281" t="s">
        <v>215</v>
      </c>
      <c r="P56" s="281" t="s">
        <v>140</v>
      </c>
      <c r="Q56" s="281" t="s">
        <v>473</v>
      </c>
      <c r="R56" s="282"/>
      <c r="S56" s="282"/>
      <c r="T56" s="282"/>
      <c r="U56" s="283"/>
      <c r="V56" s="283"/>
      <c r="W56" s="284"/>
      <c r="X56" s="644"/>
      <c r="Y56" s="644"/>
      <c r="Z56" s="644"/>
      <c r="AA56" s="644"/>
      <c r="AB56" s="88" t="s">
        <v>23</v>
      </c>
    </row>
    <row r="57" spans="1:28" ht="11.25" customHeight="1" x14ac:dyDescent="0.25">
      <c r="A57" s="111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11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1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1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1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1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1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1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1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1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635"/>
      <c r="L57" s="638"/>
      <c r="M57" s="52" t="s">
        <v>308</v>
      </c>
      <c r="N57" s="285"/>
      <c r="O57" s="286"/>
      <c r="P57" s="286"/>
      <c r="Q57" s="286"/>
      <c r="R57" s="287"/>
      <c r="S57" s="287"/>
      <c r="T57" s="287"/>
      <c r="U57" s="288"/>
      <c r="V57" s="288"/>
      <c r="W57" s="289"/>
      <c r="X57" s="645"/>
      <c r="Y57" s="645"/>
      <c r="Z57" s="645"/>
      <c r="AA57" s="645"/>
      <c r="AB57" s="88" t="s">
        <v>23</v>
      </c>
    </row>
    <row r="58" spans="1:28" ht="11.25" customHeight="1" x14ac:dyDescent="0.25">
      <c r="A58" s="111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1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C58" s="111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1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E58" s="111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1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1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1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1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1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640" t="s">
        <v>63</v>
      </c>
      <c r="L58" s="636">
        <f>IF(K58=0,0,VLOOKUP(K58,CBGV!$B$4:$M$70,12,0))</f>
        <v>0</v>
      </c>
      <c r="M58" s="54" t="s">
        <v>178</v>
      </c>
      <c r="N58" s="275" t="s">
        <v>24</v>
      </c>
      <c r="O58" s="276" t="s">
        <v>202</v>
      </c>
      <c r="P58" s="276" t="s">
        <v>204</v>
      </c>
      <c r="Q58" s="276" t="s">
        <v>198</v>
      </c>
      <c r="R58" s="277"/>
      <c r="S58" s="277"/>
      <c r="T58" s="277"/>
      <c r="U58" s="278"/>
      <c r="V58" s="278"/>
      <c r="W58" s="279"/>
      <c r="X58" s="636">
        <f>IF(K58=0,0,VLOOKUP(K58,CBGV!$B$4:$P$70,14,0))+IF(L58=0,0,VLOOKUP(L58,'T-L-K'!$B$7:$BH$36,2,0))</f>
        <v>1</v>
      </c>
      <c r="Y58" s="639">
        <f>SUM(A58:J60)</f>
        <v>15</v>
      </c>
      <c r="Z58" s="639">
        <f>SUM(A58:J60)+X58</f>
        <v>16</v>
      </c>
      <c r="AA58" s="636">
        <f>IF((Z58-(VLOOKUP(K58,CBGV!$B$4:$P$70,13,0)))&lt;=-14,"/",(Z58-(VLOOKUP(K58,CBGV!$B$4:$P$70,13,0))))</f>
        <v>-1</v>
      </c>
      <c r="AB58" s="88" t="s">
        <v>23</v>
      </c>
    </row>
    <row r="59" spans="1:28" ht="11.25" customHeight="1" x14ac:dyDescent="0.25">
      <c r="A59" s="111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1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1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1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1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1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1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1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1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1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641"/>
      <c r="L59" s="637"/>
      <c r="M59" s="55" t="s">
        <v>325</v>
      </c>
      <c r="N59" s="280" t="s">
        <v>138</v>
      </c>
      <c r="O59" s="281" t="s">
        <v>202</v>
      </c>
      <c r="P59" s="281" t="s">
        <v>124</v>
      </c>
      <c r="Q59" s="281"/>
      <c r="R59" s="282"/>
      <c r="S59" s="282"/>
      <c r="T59" s="282"/>
      <c r="U59" s="283"/>
      <c r="V59" s="283"/>
      <c r="W59" s="284"/>
      <c r="X59" s="637"/>
      <c r="Y59" s="637"/>
      <c r="Z59" s="637"/>
      <c r="AA59" s="637"/>
      <c r="AB59" s="88" t="s">
        <v>23</v>
      </c>
    </row>
    <row r="60" spans="1:28" ht="11.25" customHeight="1" x14ac:dyDescent="0.25">
      <c r="A60" s="111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11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1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1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1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1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1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1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1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1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642"/>
      <c r="L60" s="638"/>
      <c r="M60" s="56" t="s">
        <v>308</v>
      </c>
      <c r="N60" s="285"/>
      <c r="O60" s="286"/>
      <c r="P60" s="286"/>
      <c r="Q60" s="286"/>
      <c r="R60" s="287"/>
      <c r="S60" s="287"/>
      <c r="T60" s="287"/>
      <c r="U60" s="288"/>
      <c r="V60" s="288"/>
      <c r="W60" s="289"/>
      <c r="X60" s="638"/>
      <c r="Y60" s="638"/>
      <c r="Z60" s="638"/>
      <c r="AA60" s="638"/>
      <c r="AB60" s="88" t="s">
        <v>23</v>
      </c>
    </row>
    <row r="61" spans="1:28" ht="11.25" customHeight="1" x14ac:dyDescent="0.25">
      <c r="A61" s="111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B61" s="111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C61" s="111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D61" s="111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E61" s="111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1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1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1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1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1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633" t="s">
        <v>64</v>
      </c>
      <c r="L61" s="636">
        <f>IF(K61=0,0,VLOOKUP(K61,CBGV!$B$4:$M$70,12,0))</f>
        <v>0</v>
      </c>
      <c r="M61" s="57" t="s">
        <v>26</v>
      </c>
      <c r="N61" s="275" t="s">
        <v>198</v>
      </c>
      <c r="O61" s="276" t="s">
        <v>203</v>
      </c>
      <c r="P61" s="276"/>
      <c r="Q61" s="276"/>
      <c r="R61" s="277"/>
      <c r="S61" s="277"/>
      <c r="T61" s="277"/>
      <c r="U61" s="278"/>
      <c r="V61" s="278"/>
      <c r="W61" s="279"/>
      <c r="X61" s="643">
        <f>IF(K61=0,0,VLOOKUP(K61,CBGV!$B$4:$P$70,14,0))+IF(L61=0,0,VLOOKUP(L61,'T-L-K'!$B$7:$BH$36,2,0))</f>
        <v>13</v>
      </c>
      <c r="Y61" s="646">
        <f>SUM(A61:J63)</f>
        <v>6</v>
      </c>
      <c r="Z61" s="646">
        <f>SUM(A61:J63)+X61</f>
        <v>19</v>
      </c>
      <c r="AA61" s="643">
        <f>IF((Z61-(VLOOKUP(K61,CBGV!$B$4:$P$70,13,0)))&lt;=-14,"/",(Z61-17))</f>
        <v>2</v>
      </c>
      <c r="AB61" s="88" t="s">
        <v>65</v>
      </c>
    </row>
    <row r="62" spans="1:28" ht="11.25" customHeight="1" x14ac:dyDescent="0.25">
      <c r="A62" s="111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B62" s="111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C62" s="111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D62" s="111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1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1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1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1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1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1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634"/>
      <c r="L62" s="637"/>
      <c r="M62" s="51" t="s">
        <v>26</v>
      </c>
      <c r="N62" s="280"/>
      <c r="O62" s="281"/>
      <c r="P62" s="281"/>
      <c r="Q62" s="281"/>
      <c r="R62" s="282"/>
      <c r="S62" s="282"/>
      <c r="T62" s="282"/>
      <c r="U62" s="283"/>
      <c r="V62" s="283"/>
      <c r="W62" s="284"/>
      <c r="X62" s="644"/>
      <c r="Y62" s="644"/>
      <c r="Z62" s="644"/>
      <c r="AA62" s="644"/>
      <c r="AB62" s="88" t="s">
        <v>65</v>
      </c>
    </row>
    <row r="63" spans="1:28" ht="11.25" customHeight="1" x14ac:dyDescent="0.25">
      <c r="A63" s="111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1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1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1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1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1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1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1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1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1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635"/>
      <c r="L63" s="638"/>
      <c r="M63" s="52" t="s">
        <v>308</v>
      </c>
      <c r="N63" s="285"/>
      <c r="O63" s="286"/>
      <c r="P63" s="286"/>
      <c r="Q63" s="286"/>
      <c r="R63" s="287"/>
      <c r="S63" s="287"/>
      <c r="T63" s="287"/>
      <c r="U63" s="288"/>
      <c r="V63" s="288"/>
      <c r="W63" s="289"/>
      <c r="X63" s="645"/>
      <c r="Y63" s="645"/>
      <c r="Z63" s="645"/>
      <c r="AA63" s="645"/>
      <c r="AB63" s="88" t="s">
        <v>65</v>
      </c>
    </row>
    <row r="64" spans="1:28" ht="11.25" customHeight="1" x14ac:dyDescent="0.25">
      <c r="A64" s="111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B64" s="111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11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1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1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1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1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1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1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1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640" t="s">
        <v>66</v>
      </c>
      <c r="L64" s="636" t="str">
        <f>IF(K64=0,0,VLOOKUP(K64,CBGV!$B$4:$M$70,12,0))</f>
        <v>12A1</v>
      </c>
      <c r="M64" s="54" t="s">
        <v>26</v>
      </c>
      <c r="N64" s="275" t="s">
        <v>304</v>
      </c>
      <c r="O64" s="276"/>
      <c r="P64" s="276"/>
      <c r="Q64" s="276"/>
      <c r="R64" s="277"/>
      <c r="S64" s="277"/>
      <c r="T64" s="277"/>
      <c r="U64" s="278"/>
      <c r="V64" s="278"/>
      <c r="W64" s="279"/>
      <c r="X64" s="636">
        <f>IF(K64=0,0,VLOOKUP(K64,CBGV!$B$4:$P$70,14,0))+IF(L64=0,0,VLOOKUP(L64,'T-L-K'!$B$7:$BH$36,2,0))</f>
        <v>6</v>
      </c>
      <c r="Y64" s="639">
        <f>SUM(A64:J66)</f>
        <v>7</v>
      </c>
      <c r="Z64" s="639">
        <f>SUM(A64:J66)+X64</f>
        <v>13</v>
      </c>
      <c r="AA64" s="636">
        <f>IF((Z64-(VLOOKUP(K64,CBGV!$B$4:$P$70,13,0)))&lt;=-14,"/",(Z64-(VLOOKUP(K64,CBGV!$B$4:$P$70,13,0))))</f>
        <v>-4</v>
      </c>
      <c r="AB64" s="88" t="s">
        <v>65</v>
      </c>
    </row>
    <row r="65" spans="1:28" ht="11.25" customHeight="1" x14ac:dyDescent="0.25">
      <c r="A65" s="111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B65" s="111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C65" s="111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1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1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1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1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1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1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1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641"/>
      <c r="L65" s="637"/>
      <c r="M65" s="55" t="s">
        <v>26</v>
      </c>
      <c r="N65" s="280" t="s">
        <v>27</v>
      </c>
      <c r="O65" s="281" t="s">
        <v>20</v>
      </c>
      <c r="P65" s="281"/>
      <c r="Q65" s="281"/>
      <c r="R65" s="282"/>
      <c r="S65" s="282"/>
      <c r="T65" s="282"/>
      <c r="U65" s="283"/>
      <c r="V65" s="283"/>
      <c r="W65" s="284"/>
      <c r="X65" s="637"/>
      <c r="Y65" s="637"/>
      <c r="Z65" s="637"/>
      <c r="AA65" s="637"/>
      <c r="AB65" s="88" t="s">
        <v>65</v>
      </c>
    </row>
    <row r="66" spans="1:28" ht="11.25" customHeight="1" x14ac:dyDescent="0.25">
      <c r="A66" s="111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1</v>
      </c>
      <c r="B66" s="111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1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1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1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1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1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1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1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1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642"/>
      <c r="L66" s="638"/>
      <c r="M66" s="56" t="s">
        <v>308</v>
      </c>
      <c r="N66" s="285" t="s">
        <v>27</v>
      </c>
      <c r="O66" s="286"/>
      <c r="P66" s="286"/>
      <c r="Q66" s="286"/>
      <c r="R66" s="287"/>
      <c r="S66" s="287"/>
      <c r="T66" s="287"/>
      <c r="U66" s="288"/>
      <c r="V66" s="288"/>
      <c r="W66" s="289"/>
      <c r="X66" s="638"/>
      <c r="Y66" s="638"/>
      <c r="Z66" s="638"/>
      <c r="AA66" s="638"/>
      <c r="AB66" s="88" t="s">
        <v>65</v>
      </c>
    </row>
    <row r="67" spans="1:28" ht="11.25" customHeight="1" x14ac:dyDescent="0.25">
      <c r="A67" s="111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11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C67" s="111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1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1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1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1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1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1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1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633" t="s">
        <v>67</v>
      </c>
      <c r="L67" s="636" t="str">
        <f>IF(K67=0,0,VLOOKUP(K67,CBGV!$B$4:$M$70,12,0))</f>
        <v>11A5</v>
      </c>
      <c r="M67" s="57" t="s">
        <v>26</v>
      </c>
      <c r="N67" s="275" t="s">
        <v>31</v>
      </c>
      <c r="O67" s="276" t="s">
        <v>197</v>
      </c>
      <c r="P67" s="276"/>
      <c r="Q67" s="276"/>
      <c r="R67" s="277"/>
      <c r="S67" s="277"/>
      <c r="T67" s="277"/>
      <c r="U67" s="278"/>
      <c r="V67" s="278"/>
      <c r="W67" s="279"/>
      <c r="X67" s="643">
        <f>IF(K67=0,0,VLOOKUP(K67,CBGV!$B$4:$P$70,14,0))+IF(L67=0,0,VLOOKUP(L67,'T-L-K'!$B$7:$BH$36,2,0))</f>
        <v>5</v>
      </c>
      <c r="Y67" s="646">
        <f>SUM(A67:J69)</f>
        <v>13</v>
      </c>
      <c r="Z67" s="646">
        <f>SUM(A67:J69)+X67</f>
        <v>18</v>
      </c>
      <c r="AA67" s="643">
        <f>IF((Z67-(VLOOKUP(K67,CBGV!$B$4:$P$70,13,0)))&lt;=-14,"/",(Z67-(VLOOKUP(K67,CBGV!$B$4:$P$70,13,0))))</f>
        <v>1</v>
      </c>
      <c r="AB67" s="88" t="s">
        <v>65</v>
      </c>
    </row>
    <row r="68" spans="1:28" ht="11.25" customHeight="1" x14ac:dyDescent="0.25">
      <c r="A68" s="111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1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1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1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1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1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1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1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1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1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634"/>
      <c r="L68" s="637"/>
      <c r="M68" s="51" t="s">
        <v>26</v>
      </c>
      <c r="N68" s="280" t="s">
        <v>138</v>
      </c>
      <c r="O68" s="281" t="s">
        <v>201</v>
      </c>
      <c r="P68" s="281"/>
      <c r="Q68" s="281"/>
      <c r="R68" s="282"/>
      <c r="S68" s="282"/>
      <c r="T68" s="282"/>
      <c r="U68" s="283"/>
      <c r="V68" s="283"/>
      <c r="W68" s="284"/>
      <c r="X68" s="644"/>
      <c r="Y68" s="644"/>
      <c r="Z68" s="644"/>
      <c r="AA68" s="644"/>
      <c r="AB68" s="88" t="s">
        <v>65</v>
      </c>
    </row>
    <row r="69" spans="1:28" ht="11.25" customHeight="1" x14ac:dyDescent="0.25">
      <c r="A69" s="111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1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1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1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1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1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1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1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1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1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635"/>
      <c r="L69" s="638"/>
      <c r="M69" s="52" t="s">
        <v>308</v>
      </c>
      <c r="N69" s="285" t="s">
        <v>138</v>
      </c>
      <c r="O69" s="286"/>
      <c r="P69" s="286"/>
      <c r="Q69" s="286"/>
      <c r="R69" s="287"/>
      <c r="S69" s="287"/>
      <c r="T69" s="287"/>
      <c r="U69" s="288"/>
      <c r="V69" s="288"/>
      <c r="W69" s="289"/>
      <c r="X69" s="645"/>
      <c r="Y69" s="645"/>
      <c r="Z69" s="645"/>
      <c r="AA69" s="645"/>
      <c r="AB69" s="88" t="s">
        <v>65</v>
      </c>
    </row>
    <row r="70" spans="1:28" ht="11.25" customHeight="1" x14ac:dyDescent="0.25">
      <c r="A70" s="111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1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1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1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1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1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1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1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1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1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640" t="s">
        <v>68</v>
      </c>
      <c r="L70" s="636" t="str">
        <f>IF(K70=0,0,VLOOKUP(K70,CBGV!$B$4:$M$70,12,0))</f>
        <v>10A6</v>
      </c>
      <c r="M70" s="54" t="s">
        <v>26</v>
      </c>
      <c r="N70" s="275" t="s">
        <v>196</v>
      </c>
      <c r="O70" s="276" t="s">
        <v>204</v>
      </c>
      <c r="P70" s="276"/>
      <c r="Q70" s="276"/>
      <c r="R70" s="277"/>
      <c r="S70" s="277"/>
      <c r="T70" s="277"/>
      <c r="U70" s="278"/>
      <c r="V70" s="278"/>
      <c r="W70" s="279"/>
      <c r="X70" s="636">
        <f>IF(K70=0,0,VLOOKUP(K70,CBGV!$B$4:$P$70,14,0))+IF(L70=0,0,VLOOKUP(L70,'T-L-K'!$B$7:$BH$36,2,0))</f>
        <v>6</v>
      </c>
      <c r="Y70" s="639">
        <f>SUM(A70:J72)</f>
        <v>10</v>
      </c>
      <c r="Z70" s="639">
        <f>SUM(A70:J72)+X70</f>
        <v>16</v>
      </c>
      <c r="AA70" s="636">
        <f>IF((Z70-(VLOOKUP(K70,CBGV!$B$4:$P$70,13,0)))&lt;=-14,"/",(Z70-(VLOOKUP(K70,CBGV!$B$4:$P$70,13,0))))</f>
        <v>-1</v>
      </c>
      <c r="AB70" s="88" t="s">
        <v>65</v>
      </c>
    </row>
    <row r="71" spans="1:28" ht="11.25" customHeight="1" x14ac:dyDescent="0.25">
      <c r="A71" s="111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1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C71" s="111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1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1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1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1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1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1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1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641"/>
      <c r="L71" s="637"/>
      <c r="M71" s="55" t="s">
        <v>26</v>
      </c>
      <c r="N71" s="280" t="s">
        <v>140</v>
      </c>
      <c r="O71" s="281"/>
      <c r="P71" s="281"/>
      <c r="Q71" s="281"/>
      <c r="R71" s="282"/>
      <c r="S71" s="282"/>
      <c r="T71" s="282"/>
      <c r="U71" s="283"/>
      <c r="V71" s="283"/>
      <c r="W71" s="284"/>
      <c r="X71" s="637"/>
      <c r="Y71" s="637"/>
      <c r="Z71" s="637"/>
      <c r="AA71" s="637"/>
      <c r="AB71" s="88" t="s">
        <v>65</v>
      </c>
    </row>
    <row r="72" spans="1:28" ht="11.25" customHeight="1" x14ac:dyDescent="0.25">
      <c r="A72" s="111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1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1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1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1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1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1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1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1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1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642"/>
      <c r="L72" s="638"/>
      <c r="M72" s="56" t="s">
        <v>308</v>
      </c>
      <c r="N72" s="285" t="s">
        <v>196</v>
      </c>
      <c r="O72" s="286"/>
      <c r="P72" s="286"/>
      <c r="Q72" s="286"/>
      <c r="R72" s="287"/>
      <c r="S72" s="287"/>
      <c r="T72" s="287"/>
      <c r="U72" s="288"/>
      <c r="V72" s="288"/>
      <c r="W72" s="289"/>
      <c r="X72" s="638"/>
      <c r="Y72" s="638"/>
      <c r="Z72" s="638"/>
      <c r="AA72" s="638"/>
      <c r="AB72" s="88" t="s">
        <v>65</v>
      </c>
    </row>
    <row r="73" spans="1:28" ht="11.25" customHeight="1" x14ac:dyDescent="0.25">
      <c r="A73" s="111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11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11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1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1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1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1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1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1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1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633" t="s">
        <v>69</v>
      </c>
      <c r="L73" s="636" t="str">
        <f>IF(K73=0,0,VLOOKUP(K73,CBGV!$B$4:$M$70,12,0))</f>
        <v>12A5</v>
      </c>
      <c r="M73" s="57" t="s">
        <v>26</v>
      </c>
      <c r="N73" s="275" t="s">
        <v>202</v>
      </c>
      <c r="O73" s="276" t="s">
        <v>116</v>
      </c>
      <c r="P73" s="276"/>
      <c r="Q73" s="276"/>
      <c r="R73" s="277"/>
      <c r="S73" s="277"/>
      <c r="T73" s="277"/>
      <c r="U73" s="278"/>
      <c r="V73" s="278"/>
      <c r="W73" s="279"/>
      <c r="X73" s="643">
        <f>IF(K73=0,0,VLOOKUP(K73,CBGV!$B$4:$P$70,14,0))+IF(L73=0,0,VLOOKUP(L73,'T-L-K'!$B$7:$BH$36,2,0))</f>
        <v>5</v>
      </c>
      <c r="Y73" s="646">
        <f>SUM(A73:J75)</f>
        <v>13</v>
      </c>
      <c r="Z73" s="646">
        <f>SUM(A73:J75)+X73</f>
        <v>18</v>
      </c>
      <c r="AA73" s="643">
        <f>IF((Z73-(VLOOKUP(K73,CBGV!$B$4:$P$70,13,0)))&lt;=-14,"/",(Z73-(VLOOKUP(K73,CBGV!$B$4:$P$70,13,0))))</f>
        <v>1</v>
      </c>
      <c r="AB73" s="88" t="s">
        <v>65</v>
      </c>
    </row>
    <row r="74" spans="1:28" ht="11.25" customHeight="1" x14ac:dyDescent="0.25">
      <c r="A74" s="111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1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C74" s="111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1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1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1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1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1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1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1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634"/>
      <c r="L74" s="637"/>
      <c r="M74" s="51" t="s">
        <v>26</v>
      </c>
      <c r="N74" s="280" t="s">
        <v>30</v>
      </c>
      <c r="O74" s="281" t="s">
        <v>173</v>
      </c>
      <c r="P74" s="281"/>
      <c r="Q74" s="281"/>
      <c r="R74" s="282"/>
      <c r="S74" s="282"/>
      <c r="T74" s="282"/>
      <c r="U74" s="283"/>
      <c r="V74" s="283"/>
      <c r="W74" s="284"/>
      <c r="X74" s="644"/>
      <c r="Y74" s="644"/>
      <c r="Z74" s="644"/>
      <c r="AA74" s="644"/>
      <c r="AB74" s="88" t="s">
        <v>65</v>
      </c>
    </row>
    <row r="75" spans="1:28" ht="11.25" customHeight="1" x14ac:dyDescent="0.25">
      <c r="A75" s="111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1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1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1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1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1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1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1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1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1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635"/>
      <c r="L75" s="638"/>
      <c r="M75" s="52" t="s">
        <v>308</v>
      </c>
      <c r="N75" s="285" t="s">
        <v>173</v>
      </c>
      <c r="O75" s="286"/>
      <c r="P75" s="286"/>
      <c r="Q75" s="286"/>
      <c r="R75" s="287"/>
      <c r="S75" s="287"/>
      <c r="T75" s="287"/>
      <c r="U75" s="288"/>
      <c r="V75" s="288"/>
      <c r="W75" s="289"/>
      <c r="X75" s="645"/>
      <c r="Y75" s="645"/>
      <c r="Z75" s="645"/>
      <c r="AA75" s="645"/>
      <c r="AB75" s="88" t="s">
        <v>65</v>
      </c>
    </row>
    <row r="76" spans="1:28" ht="11.25" customHeight="1" x14ac:dyDescent="0.25">
      <c r="A76" s="111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1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11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1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1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1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1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1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1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1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640" t="s">
        <v>70</v>
      </c>
      <c r="L76" s="636">
        <f>IF(K76=0,0,VLOOKUP(K76,CBGV!$B$4:$M$70,12,0))</f>
        <v>0</v>
      </c>
      <c r="M76" s="54" t="s">
        <v>179</v>
      </c>
      <c r="N76" s="275" t="s">
        <v>198</v>
      </c>
      <c r="O76" s="276"/>
      <c r="P76" s="276"/>
      <c r="Q76" s="276"/>
      <c r="R76" s="277"/>
      <c r="S76" s="277"/>
      <c r="T76" s="277"/>
      <c r="U76" s="278"/>
      <c r="V76" s="278"/>
      <c r="W76" s="279"/>
      <c r="X76" s="636">
        <f>IF(K76=0,0,VLOOKUP(K76,CBGV!$B$4:$P$70,14,0))+IF(L76=0,0,VLOOKUP(L76,'T-L-K'!$B$7:$BH$36,2,0))</f>
        <v>15</v>
      </c>
      <c r="Y76" s="639">
        <f>SUM(A76:J78)</f>
        <v>3</v>
      </c>
      <c r="Z76" s="639">
        <f>SUM(A76:J78)+X76</f>
        <v>18</v>
      </c>
      <c r="AA76" s="636">
        <f>IF((Z76-(VLOOKUP(K76,CBGV!$B$4:$P$70,13,0)))&lt;=-14,"/",(Z76-17))</f>
        <v>1</v>
      </c>
      <c r="AB76" s="88" t="s">
        <v>71</v>
      </c>
    </row>
    <row r="77" spans="1:28" ht="11.25" customHeight="1" x14ac:dyDescent="0.25">
      <c r="A77" s="111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B77" s="111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C77" s="111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1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1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1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1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1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1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1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641"/>
      <c r="L77" s="637"/>
      <c r="M77" s="55" t="s">
        <v>310</v>
      </c>
      <c r="N77" s="280"/>
      <c r="O77" s="281"/>
      <c r="P77" s="281"/>
      <c r="Q77" s="281"/>
      <c r="R77" s="282"/>
      <c r="S77" s="282"/>
      <c r="T77" s="282"/>
      <c r="U77" s="283"/>
      <c r="V77" s="283"/>
      <c r="W77" s="284"/>
      <c r="X77" s="637"/>
      <c r="Y77" s="637"/>
      <c r="Z77" s="637"/>
      <c r="AA77" s="637"/>
      <c r="AB77" s="88" t="s">
        <v>71</v>
      </c>
    </row>
    <row r="78" spans="1:28" ht="11.25" customHeight="1" x14ac:dyDescent="0.25">
      <c r="A78" s="111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B78" s="111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1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1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1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1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1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1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1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1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642"/>
      <c r="L78" s="638"/>
      <c r="M78" s="56" t="s">
        <v>308</v>
      </c>
      <c r="N78" s="285"/>
      <c r="O78" s="286"/>
      <c r="P78" s="286"/>
      <c r="Q78" s="286"/>
      <c r="R78" s="287"/>
      <c r="S78" s="287"/>
      <c r="T78" s="287"/>
      <c r="U78" s="288"/>
      <c r="V78" s="288"/>
      <c r="W78" s="289"/>
      <c r="X78" s="638"/>
      <c r="Y78" s="638"/>
      <c r="Z78" s="638"/>
      <c r="AA78" s="638"/>
      <c r="AB78" s="88" t="s">
        <v>71</v>
      </c>
    </row>
    <row r="79" spans="1:28" ht="11.25" customHeight="1" x14ac:dyDescent="0.25">
      <c r="A79" s="111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1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1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D79" s="111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E79" s="111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F79" s="111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G79" s="111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1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1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1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633" t="s">
        <v>72</v>
      </c>
      <c r="L79" s="636">
        <f>IF(K79=0,0,VLOOKUP(K79,CBGV!$B$4:$M$70,12,0))</f>
        <v>0</v>
      </c>
      <c r="M79" s="57" t="s">
        <v>179</v>
      </c>
      <c r="N79" s="275" t="s">
        <v>198</v>
      </c>
      <c r="O79" s="276" t="s">
        <v>200</v>
      </c>
      <c r="P79" s="276" t="s">
        <v>30</v>
      </c>
      <c r="Q79" s="276" t="s">
        <v>197</v>
      </c>
      <c r="R79" s="277" t="s">
        <v>196</v>
      </c>
      <c r="S79" s="277" t="s">
        <v>506</v>
      </c>
      <c r="T79" s="277"/>
      <c r="U79" s="278"/>
      <c r="V79" s="278"/>
      <c r="W79" s="279"/>
      <c r="X79" s="643">
        <f>IF(K79=0,0,VLOOKUP(K79,CBGV!$B$4:$P$70,14,0))+IF(L79=0,0,VLOOKUP(L79,'T-L-K'!$B$7:$BH$36,2,0))</f>
        <v>4</v>
      </c>
      <c r="Y79" s="646">
        <f>SUM(A79:J81)</f>
        <v>24</v>
      </c>
      <c r="Z79" s="646">
        <f>SUM(A79:J81)+X79</f>
        <v>28</v>
      </c>
      <c r="AA79" s="643">
        <f>IF((Z79-(VLOOKUP(K79,CBGV!$B$4:$P$70,13,0)))&lt;=-14,"/",(Z79-(VLOOKUP(K79,CBGV!$B$4:$P$70,13,0))))</f>
        <v>11</v>
      </c>
      <c r="AB79" s="88" t="s">
        <v>71</v>
      </c>
    </row>
    <row r="80" spans="1:28" ht="11.25" customHeight="1" x14ac:dyDescent="0.25">
      <c r="A80" s="111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B80" s="111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C80" s="111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D80" s="111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E80" s="111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F80" s="111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G80" s="111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H80" s="111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I80" s="111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J80" s="111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634"/>
      <c r="L80" s="637"/>
      <c r="M80" s="51" t="s">
        <v>310</v>
      </c>
      <c r="N80" s="280" t="s">
        <v>27</v>
      </c>
      <c r="O80" s="281" t="s">
        <v>30</v>
      </c>
      <c r="P80" s="281" t="s">
        <v>116</v>
      </c>
      <c r="Q80" s="281" t="s">
        <v>196</v>
      </c>
      <c r="R80" s="282" t="s">
        <v>197</v>
      </c>
      <c r="S80" s="282" t="s">
        <v>198</v>
      </c>
      <c r="T80" s="282" t="s">
        <v>18</v>
      </c>
      <c r="U80" s="283" t="s">
        <v>24</v>
      </c>
      <c r="V80" s="283" t="s">
        <v>142</v>
      </c>
      <c r="W80" s="284"/>
      <c r="X80" s="644"/>
      <c r="Y80" s="644"/>
      <c r="Z80" s="644"/>
      <c r="AA80" s="644"/>
      <c r="AB80" s="88" t="s">
        <v>71</v>
      </c>
    </row>
    <row r="81" spans="1:28" ht="11.25" customHeight="1" x14ac:dyDescent="0.25">
      <c r="A81" s="111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1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1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1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1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1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1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1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1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1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635"/>
      <c r="L81" s="638"/>
      <c r="M81" s="52" t="s">
        <v>309</v>
      </c>
      <c r="N81" s="285" t="s">
        <v>116</v>
      </c>
      <c r="O81" s="286" t="s">
        <v>204</v>
      </c>
      <c r="P81" s="286" t="s">
        <v>31</v>
      </c>
      <c r="Q81" s="286"/>
      <c r="R81" s="287"/>
      <c r="S81" s="287"/>
      <c r="T81" s="287"/>
      <c r="U81" s="288"/>
      <c r="V81" s="288"/>
      <c r="W81" s="289"/>
      <c r="X81" s="645"/>
      <c r="Y81" s="645"/>
      <c r="Z81" s="645"/>
      <c r="AA81" s="645"/>
      <c r="AB81" s="88" t="s">
        <v>71</v>
      </c>
    </row>
    <row r="82" spans="1:28" ht="11.25" customHeight="1" x14ac:dyDescent="0.25">
      <c r="A82" s="111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B82" s="111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C82" s="111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1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11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11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11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1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1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1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640" t="s">
        <v>73</v>
      </c>
      <c r="L82" s="636" t="str">
        <f>IF(K82=0,0,VLOOKUP(K82,CBGV!$B$4:$M$70,12,0))</f>
        <v>11A7</v>
      </c>
      <c r="M82" s="54" t="s">
        <v>179</v>
      </c>
      <c r="N82" s="275" t="s">
        <v>142</v>
      </c>
      <c r="O82" s="276" t="s">
        <v>27</v>
      </c>
      <c r="P82" s="276" t="s">
        <v>20</v>
      </c>
      <c r="Q82" s="276"/>
      <c r="R82" s="277"/>
      <c r="S82" s="277"/>
      <c r="T82" s="277"/>
      <c r="U82" s="278"/>
      <c r="V82" s="278"/>
      <c r="W82" s="279"/>
      <c r="X82" s="636">
        <f>IF(K82=0,0,VLOOKUP(K82,CBGV!$B$4:$P$70,14,0))+IF(L82=0,0,VLOOKUP(L82,'T-L-K'!$B$7:$BH$36,2,0))</f>
        <v>5</v>
      </c>
      <c r="Y82" s="639">
        <f>SUM(A82:J84)</f>
        <v>17</v>
      </c>
      <c r="Z82" s="639">
        <f>SUM(A82:J84)+X82</f>
        <v>22</v>
      </c>
      <c r="AA82" s="636">
        <f>IF((Z82-(VLOOKUP(K82,CBGV!$B$4:$P$70,13,0)))&lt;=-14,"/",(Z82-(VLOOKUP(K82,CBGV!$B$4:$P$70,13,0))))</f>
        <v>5</v>
      </c>
      <c r="AB82" s="88" t="s">
        <v>71</v>
      </c>
    </row>
    <row r="83" spans="1:28" ht="11.25" customHeight="1" x14ac:dyDescent="0.25">
      <c r="A83" s="111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1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1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1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1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1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1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1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1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J83" s="111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K83" s="641"/>
      <c r="L83" s="637"/>
      <c r="M83" s="55" t="s">
        <v>310</v>
      </c>
      <c r="N83" s="280" t="s">
        <v>31</v>
      </c>
      <c r="O83" s="281" t="s">
        <v>21</v>
      </c>
      <c r="P83" s="281" t="s">
        <v>148</v>
      </c>
      <c r="Q83" s="281" t="s">
        <v>121</v>
      </c>
      <c r="R83" s="282" t="s">
        <v>116</v>
      </c>
      <c r="S83" s="282" t="s">
        <v>196</v>
      </c>
      <c r="T83" s="282" t="s">
        <v>197</v>
      </c>
      <c r="U83" s="283" t="s">
        <v>198</v>
      </c>
      <c r="V83" s="283" t="s">
        <v>199</v>
      </c>
      <c r="W83" s="284" t="s">
        <v>200</v>
      </c>
      <c r="X83" s="637"/>
      <c r="Y83" s="637"/>
      <c r="Z83" s="637"/>
      <c r="AA83" s="637"/>
      <c r="AB83" s="88" t="s">
        <v>71</v>
      </c>
    </row>
    <row r="84" spans="1:28" ht="11.25" customHeight="1" x14ac:dyDescent="0.25">
      <c r="A84" s="111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B84" s="111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11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1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1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1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1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1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1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1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642"/>
      <c r="L84" s="638"/>
      <c r="M84" s="56" t="s">
        <v>308</v>
      </c>
      <c r="N84" s="285" t="s">
        <v>142</v>
      </c>
      <c r="O84" s="286"/>
      <c r="P84" s="286"/>
      <c r="Q84" s="286"/>
      <c r="R84" s="287"/>
      <c r="S84" s="287"/>
      <c r="T84" s="287"/>
      <c r="U84" s="288"/>
      <c r="V84" s="288"/>
      <c r="W84" s="289"/>
      <c r="X84" s="638"/>
      <c r="Y84" s="638"/>
      <c r="Z84" s="638"/>
      <c r="AA84" s="638"/>
      <c r="AB84" s="88" t="s">
        <v>71</v>
      </c>
    </row>
    <row r="85" spans="1:28" ht="11.25" customHeight="1" x14ac:dyDescent="0.25">
      <c r="A85" s="111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11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C85" s="111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1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E85" s="111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1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1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1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1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1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633" t="s">
        <v>74</v>
      </c>
      <c r="L85" s="636" t="str">
        <f>IF(K85=0,0,VLOOKUP(K85,CBGV!$B$4:$M$70,12,0))</f>
        <v>12A3</v>
      </c>
      <c r="M85" s="57" t="s">
        <v>179</v>
      </c>
      <c r="N85" s="275" t="s">
        <v>197</v>
      </c>
      <c r="O85" s="276" t="s">
        <v>18</v>
      </c>
      <c r="P85" s="276" t="s">
        <v>20</v>
      </c>
      <c r="Q85" s="276" t="s">
        <v>203</v>
      </c>
      <c r="R85" s="277" t="s">
        <v>304</v>
      </c>
      <c r="S85" s="277"/>
      <c r="T85" s="277"/>
      <c r="U85" s="278"/>
      <c r="V85" s="278"/>
      <c r="W85" s="279"/>
      <c r="X85" s="643">
        <f>IF(K85=0,0,VLOOKUP(K85,CBGV!$B$4:$P$70,14,0))+IF(L85=0,0,VLOOKUP(L85,'T-L-K'!$B$7:$BH$36,2,0))</f>
        <v>5</v>
      </c>
      <c r="Y85" s="646">
        <f>SUM(A85:J87)</f>
        <v>11</v>
      </c>
      <c r="Z85" s="646">
        <f>SUM(A85:J87)+X85</f>
        <v>16</v>
      </c>
      <c r="AA85" s="643">
        <f>IF((Z85-(VLOOKUP(K85,CBGV!$B$4:$P$70,13,0)))&lt;=-14,"/",(Z85-(VLOOKUP(K85,CBGV!$B$4:$P$70,13,0))))</f>
        <v>-1</v>
      </c>
      <c r="AB85" s="88" t="s">
        <v>71</v>
      </c>
    </row>
    <row r="86" spans="1:28" ht="11.25" customHeight="1" x14ac:dyDescent="0.25">
      <c r="A86" s="111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B86" s="111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C86" s="111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D86" s="111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E86" s="111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F86" s="111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G86" s="111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H86" s="111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I86" s="111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J86" s="111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634"/>
      <c r="L86" s="637"/>
      <c r="M86" s="51" t="s">
        <v>310</v>
      </c>
      <c r="N86" s="280"/>
      <c r="O86" s="281"/>
      <c r="P86" s="281"/>
      <c r="Q86" s="281"/>
      <c r="R86" s="282"/>
      <c r="S86" s="282"/>
      <c r="T86" s="282"/>
      <c r="U86" s="283"/>
      <c r="V86" s="283"/>
      <c r="W86" s="284"/>
      <c r="X86" s="644"/>
      <c r="Y86" s="644"/>
      <c r="Z86" s="644"/>
      <c r="AA86" s="644"/>
      <c r="AB86" s="88" t="s">
        <v>71</v>
      </c>
    </row>
    <row r="87" spans="1:28" ht="11.25" customHeight="1" x14ac:dyDescent="0.25">
      <c r="A87" s="111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B87" s="111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1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D87" s="111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E87" s="111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1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1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1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1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1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635"/>
      <c r="L87" s="638"/>
      <c r="M87" s="52" t="s">
        <v>308</v>
      </c>
      <c r="N87" s="285"/>
      <c r="O87" s="286"/>
      <c r="P87" s="286" t="s">
        <v>20</v>
      </c>
      <c r="Q87" s="286" t="s">
        <v>173</v>
      </c>
      <c r="R87" s="287"/>
      <c r="S87" s="287"/>
      <c r="T87" s="287"/>
      <c r="U87" s="288"/>
      <c r="V87" s="288"/>
      <c r="W87" s="289"/>
      <c r="X87" s="645"/>
      <c r="Y87" s="645"/>
      <c r="Z87" s="645"/>
      <c r="AA87" s="645"/>
      <c r="AB87" s="88" t="s">
        <v>71</v>
      </c>
    </row>
    <row r="88" spans="1:28" ht="11.25" customHeight="1" x14ac:dyDescent="0.25">
      <c r="A88" s="111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1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C88" s="111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D88" s="111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11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1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1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1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1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1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640" t="s">
        <v>75</v>
      </c>
      <c r="L88" s="636">
        <f>IF(K88=0,0,VLOOKUP(K88,CBGV!$B$4:$M$70,12,0))</f>
        <v>0</v>
      </c>
      <c r="M88" s="54" t="s">
        <v>186</v>
      </c>
      <c r="N88" s="275" t="s">
        <v>121</v>
      </c>
      <c r="O88" s="276"/>
      <c r="P88" s="276"/>
      <c r="Q88" s="276"/>
      <c r="R88" s="479"/>
      <c r="S88" s="277"/>
      <c r="T88" s="277"/>
      <c r="U88" s="277"/>
      <c r="V88" s="278"/>
      <c r="W88" s="279"/>
      <c r="X88" s="636">
        <f>IF(K88=0,0,VLOOKUP(K88,CBGV!$B$4:$P$70,14,0))+IF(L88=0,0,VLOOKUP(L88,'T-L-K'!$B$7:$BH$36,2,0))</f>
        <v>13</v>
      </c>
      <c r="Y88" s="639">
        <f>SUM(A88:J90)</f>
        <v>8</v>
      </c>
      <c r="Z88" s="639">
        <f>SUM(A88:J90)+X88</f>
        <v>21</v>
      </c>
      <c r="AA88" s="636">
        <f>IF((Z88-(VLOOKUP(K88,CBGV!$B$4:$P$70,13,0)))&lt;=-14,"/",(Z88-17))</f>
        <v>4</v>
      </c>
      <c r="AB88" s="88" t="s">
        <v>29</v>
      </c>
    </row>
    <row r="89" spans="1:28" ht="11.25" customHeight="1" x14ac:dyDescent="0.25">
      <c r="A89" s="111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1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1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1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1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1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11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11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11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11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641"/>
      <c r="L89" s="637"/>
      <c r="M89" s="55" t="s">
        <v>310</v>
      </c>
      <c r="N89" s="280" t="s">
        <v>121</v>
      </c>
      <c r="O89" s="281" t="s">
        <v>202</v>
      </c>
      <c r="P89" s="281" t="s">
        <v>304</v>
      </c>
      <c r="Q89" s="281" t="s">
        <v>30</v>
      </c>
      <c r="R89" s="282" t="s">
        <v>219</v>
      </c>
      <c r="S89" s="282"/>
      <c r="T89" s="282"/>
      <c r="U89" s="283"/>
      <c r="V89" s="283"/>
      <c r="W89" s="284"/>
      <c r="X89" s="637"/>
      <c r="Y89" s="637"/>
      <c r="Z89" s="637"/>
      <c r="AA89" s="637"/>
      <c r="AB89" s="88" t="s">
        <v>29</v>
      </c>
    </row>
    <row r="90" spans="1:28" ht="11.25" customHeight="1" x14ac:dyDescent="0.25">
      <c r="A90" s="111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11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1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11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11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1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1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1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1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1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642"/>
      <c r="L90" s="638"/>
      <c r="M90" s="56" t="s">
        <v>308</v>
      </c>
      <c r="N90" s="285"/>
      <c r="O90" s="286"/>
      <c r="P90" s="286"/>
      <c r="Q90" s="286"/>
      <c r="R90" s="287"/>
      <c r="S90" s="287"/>
      <c r="T90" s="287"/>
      <c r="U90" s="288"/>
      <c r="V90" s="288"/>
      <c r="W90" s="289"/>
      <c r="X90" s="638"/>
      <c r="Y90" s="638"/>
      <c r="Z90" s="638"/>
      <c r="AA90" s="638"/>
      <c r="AB90" s="88" t="s">
        <v>29</v>
      </c>
    </row>
    <row r="91" spans="1:28" ht="11.25" customHeight="1" x14ac:dyDescent="0.25">
      <c r="A91" s="111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1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4</v>
      </c>
      <c r="C91" s="111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D91" s="111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1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F91" s="111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1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1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1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1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633" t="s">
        <v>76</v>
      </c>
      <c r="L91" s="636">
        <f>IF(K91=0,0,VLOOKUP(K91,CBGV!$B$4:$M$70,12,0))</f>
        <v>0</v>
      </c>
      <c r="M91" s="57" t="s">
        <v>186</v>
      </c>
      <c r="N91" s="275" t="s">
        <v>473</v>
      </c>
      <c r="O91" s="480" t="s">
        <v>173</v>
      </c>
      <c r="P91" s="276" t="s">
        <v>214</v>
      </c>
      <c r="Q91" s="276"/>
      <c r="R91" s="277" t="s">
        <v>304</v>
      </c>
      <c r="S91" s="277"/>
      <c r="T91" s="277"/>
      <c r="U91" s="278"/>
      <c r="V91" s="278"/>
      <c r="W91" s="279"/>
      <c r="X91" s="643">
        <f>IF(K91=0,0,VLOOKUP(K91,CBGV!$B$4:$P$70,14,0))+IF(L91=0,0,VLOOKUP(L91,'T-L-K'!$B$7:$BH$36,2,0))</f>
        <v>3</v>
      </c>
      <c r="Y91" s="646">
        <f>SUM(A91:J93)</f>
        <v>15</v>
      </c>
      <c r="Z91" s="646">
        <f>SUM(A91:J93)+X91</f>
        <v>18</v>
      </c>
      <c r="AA91" s="643">
        <f>IF((Z91-(VLOOKUP(K91,CBGV!$B$4:$P$70,13,0)))&lt;=-14,"/",(Z91-(VLOOKUP(K91,CBGV!$B$4:$P$70,13,0))))</f>
        <v>1</v>
      </c>
      <c r="AB91" s="88" t="s">
        <v>29</v>
      </c>
    </row>
    <row r="92" spans="1:28" ht="11.25" customHeight="1" x14ac:dyDescent="0.25">
      <c r="A92" s="111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11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1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1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11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11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1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1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1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1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634"/>
      <c r="L92" s="637"/>
      <c r="M92" s="51" t="s">
        <v>310</v>
      </c>
      <c r="N92" s="280"/>
      <c r="O92" s="281" t="s">
        <v>173</v>
      </c>
      <c r="P92" s="281" t="s">
        <v>214</v>
      </c>
      <c r="Q92" s="281"/>
      <c r="R92" s="282"/>
      <c r="S92" s="282"/>
      <c r="T92" s="282"/>
      <c r="U92" s="283"/>
      <c r="V92" s="283"/>
      <c r="W92" s="284"/>
      <c r="X92" s="644"/>
      <c r="Y92" s="644"/>
      <c r="Z92" s="644"/>
      <c r="AA92" s="644"/>
      <c r="AB92" s="88" t="s">
        <v>29</v>
      </c>
    </row>
    <row r="93" spans="1:28" ht="11.25" customHeight="1" x14ac:dyDescent="0.25">
      <c r="A93" s="111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1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1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1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1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1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1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1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1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1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635"/>
      <c r="L93" s="638"/>
      <c r="M93" s="52" t="s">
        <v>308</v>
      </c>
      <c r="N93" s="285"/>
      <c r="O93" s="286"/>
      <c r="P93" s="286"/>
      <c r="Q93" s="286"/>
      <c r="R93" s="287"/>
      <c r="S93" s="287"/>
      <c r="T93" s="287"/>
      <c r="U93" s="288"/>
      <c r="V93" s="288"/>
      <c r="W93" s="289"/>
      <c r="X93" s="645"/>
      <c r="Y93" s="645"/>
      <c r="Z93" s="645"/>
      <c r="AA93" s="645"/>
      <c r="AB93" s="88" t="s">
        <v>29</v>
      </c>
    </row>
    <row r="94" spans="1:28" ht="11.25" customHeight="1" x14ac:dyDescent="0.25">
      <c r="A94" s="111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1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C94" s="111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1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11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F94" s="111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1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1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1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1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640" t="s">
        <v>77</v>
      </c>
      <c r="L94" s="636">
        <f>IF(K94=0,0,VLOOKUP(K94,CBGV!$B$4:$M$70,12,0))</f>
        <v>0</v>
      </c>
      <c r="M94" s="54" t="s">
        <v>186</v>
      </c>
      <c r="N94" s="275" t="s">
        <v>27</v>
      </c>
      <c r="O94" s="480" t="s">
        <v>140</v>
      </c>
      <c r="P94" s="276" t="s">
        <v>30</v>
      </c>
      <c r="Q94" s="276"/>
      <c r="R94" s="481" t="s">
        <v>116</v>
      </c>
      <c r="S94" s="277"/>
      <c r="T94" s="277"/>
      <c r="U94" s="278"/>
      <c r="V94" s="278"/>
      <c r="W94" s="279"/>
      <c r="X94" s="636">
        <f>IF(K94=0,0,VLOOKUP(K94,CBGV!$B$4:$P$70,14,0))+IF(L94=0,0,VLOOKUP(L94,'T-L-K'!$B$7:$BH$36,2,0))</f>
        <v>1</v>
      </c>
      <c r="Y94" s="639">
        <f>SUM(A94:J96)</f>
        <v>17</v>
      </c>
      <c r="Z94" s="639">
        <f>SUM(A94:J96)+X94</f>
        <v>18</v>
      </c>
      <c r="AA94" s="636">
        <f>IF((Z94-(VLOOKUP(K94,CBGV!$B$4:$P$70,13,0)))&lt;=-14,"/",(Z94-(VLOOKUP(K94,CBGV!$B$4:$P$70,13,0))))</f>
        <v>1</v>
      </c>
      <c r="AB94" s="88" t="s">
        <v>29</v>
      </c>
    </row>
    <row r="95" spans="1:28" ht="11.25" customHeight="1" x14ac:dyDescent="0.25">
      <c r="A95" s="111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B95" s="111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C95" s="111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11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E95" s="111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1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1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1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1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1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641"/>
      <c r="L95" s="637"/>
      <c r="M95" s="55" t="s">
        <v>310</v>
      </c>
      <c r="N95" s="275" t="s">
        <v>27</v>
      </c>
      <c r="O95" s="281" t="s">
        <v>140</v>
      </c>
      <c r="P95" s="37"/>
      <c r="Q95" s="276" t="s">
        <v>21</v>
      </c>
      <c r="R95" s="282"/>
      <c r="S95" s="282"/>
      <c r="T95" s="282"/>
      <c r="U95" s="283"/>
      <c r="V95" s="283"/>
      <c r="W95" s="284"/>
      <c r="X95" s="637"/>
      <c r="Y95" s="637"/>
      <c r="Z95" s="637"/>
      <c r="AA95" s="637"/>
      <c r="AB95" s="88" t="s">
        <v>29</v>
      </c>
    </row>
    <row r="96" spans="1:28" ht="11.25" customHeight="1" x14ac:dyDescent="0.25">
      <c r="A96" s="111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1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1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1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1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1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1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1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1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1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642"/>
      <c r="L96" s="638"/>
      <c r="M96" s="56" t="s">
        <v>308</v>
      </c>
      <c r="N96" s="482"/>
      <c r="O96" s="286"/>
      <c r="P96" s="286"/>
      <c r="Q96" s="286"/>
      <c r="R96" s="287"/>
      <c r="S96" s="287"/>
      <c r="T96" s="287"/>
      <c r="U96" s="288"/>
      <c r="V96" s="288"/>
      <c r="W96" s="289"/>
      <c r="X96" s="638"/>
      <c r="Y96" s="638"/>
      <c r="Z96" s="638"/>
      <c r="AA96" s="638"/>
      <c r="AB96" s="88" t="s">
        <v>29</v>
      </c>
    </row>
    <row r="97" spans="1:28" ht="11.25" customHeight="1" x14ac:dyDescent="0.25">
      <c r="A97" s="111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11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11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1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1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F97" s="111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1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1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1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1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633" t="s">
        <v>80</v>
      </c>
      <c r="L97" s="636">
        <f>IF(K97=0,0,VLOOKUP(K97,CBGV!$B$4:$M$70,12,0))</f>
        <v>0</v>
      </c>
      <c r="M97" s="57" t="s">
        <v>186</v>
      </c>
      <c r="N97" s="275" t="s">
        <v>20</v>
      </c>
      <c r="O97" s="276" t="s">
        <v>213</v>
      </c>
      <c r="P97" s="276" t="s">
        <v>219</v>
      </c>
      <c r="Q97" s="276" t="s">
        <v>124</v>
      </c>
      <c r="R97" s="277" t="s">
        <v>204</v>
      </c>
      <c r="S97" s="481"/>
      <c r="T97" s="277"/>
      <c r="U97" s="278"/>
      <c r="V97" s="278"/>
      <c r="W97" s="279"/>
      <c r="X97" s="643">
        <f>IF(K97=0,0,VLOOKUP(K97,CBGV!$B$4:$P$70,14,0))+IF(L97=0,0,VLOOKUP(L97,'T-L-K'!$B$7:$BH$36,2,0))</f>
        <v>0</v>
      </c>
      <c r="Y97" s="646">
        <f>SUM(A97:J99)</f>
        <v>17</v>
      </c>
      <c r="Z97" s="646">
        <f>SUM(A97:J99)+X97</f>
        <v>17</v>
      </c>
      <c r="AA97" s="643">
        <f>IF((Z97-(VLOOKUP(K97,CBGV!$B$4:$P$70,13,0)))&lt;=-14,"/",(Z97-(VLOOKUP(K97,CBGV!$B$4:$P$70,13,0))))</f>
        <v>0</v>
      </c>
      <c r="AB97" s="88" t="s">
        <v>29</v>
      </c>
    </row>
    <row r="98" spans="1:28" ht="11.25" customHeight="1" x14ac:dyDescent="0.25">
      <c r="A98" s="111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1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C98" s="111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1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11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1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1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1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1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1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634"/>
      <c r="L98" s="637"/>
      <c r="M98" s="51" t="s">
        <v>310</v>
      </c>
      <c r="N98" s="275" t="s">
        <v>20</v>
      </c>
      <c r="O98" s="276" t="s">
        <v>213</v>
      </c>
      <c r="P98" s="483"/>
      <c r="Q98" s="483"/>
      <c r="R98" s="484"/>
      <c r="S98" s="484"/>
      <c r="T98" s="282"/>
      <c r="U98" s="283"/>
      <c r="V98" s="283"/>
      <c r="W98" s="284"/>
      <c r="X98" s="644"/>
      <c r="Y98" s="644"/>
      <c r="Z98" s="644"/>
      <c r="AA98" s="644"/>
      <c r="AB98" s="88" t="s">
        <v>29</v>
      </c>
    </row>
    <row r="99" spans="1:28" ht="11.25" customHeight="1" x14ac:dyDescent="0.25">
      <c r="A99" s="111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11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1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1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1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1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1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1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1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1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635"/>
      <c r="L99" s="638"/>
      <c r="M99" s="52" t="s">
        <v>308</v>
      </c>
      <c r="N99" s="482"/>
      <c r="O99" s="485"/>
      <c r="P99" s="485"/>
      <c r="Q99" s="485"/>
      <c r="R99" s="486"/>
      <c r="S99" s="486"/>
      <c r="T99" s="287"/>
      <c r="U99" s="288"/>
      <c r="V99" s="288"/>
      <c r="W99" s="289"/>
      <c r="X99" s="645"/>
      <c r="Y99" s="645"/>
      <c r="Z99" s="645"/>
      <c r="AA99" s="645"/>
      <c r="AB99" s="88" t="s">
        <v>29</v>
      </c>
    </row>
    <row r="100" spans="1:28" ht="11.25" customHeight="1" x14ac:dyDescent="0.25">
      <c r="A100" s="111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1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C100" s="111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D100" s="111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E100" s="111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11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11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1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1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1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640" t="s">
        <v>189</v>
      </c>
      <c r="L100" s="636">
        <f>IF(K100=0,0,VLOOKUP(K100,CBGV!$B$4:$M$70,12,0))</f>
        <v>0</v>
      </c>
      <c r="M100" s="54" t="s">
        <v>186</v>
      </c>
      <c r="N100" s="275" t="s">
        <v>215</v>
      </c>
      <c r="O100" s="276"/>
      <c r="P100" s="276"/>
      <c r="Q100" s="276"/>
      <c r="R100" s="277"/>
      <c r="S100" s="277"/>
      <c r="T100" s="277"/>
      <c r="U100" s="278"/>
      <c r="V100" s="278"/>
      <c r="W100" s="279"/>
      <c r="X100" s="636">
        <f>IF(K100=0,0,VLOOKUP(K100,CBGV!$B$4:$P$70,14,0))+IF(L100=0,0,VLOOKUP(L100,'T-L-K'!$B$7:$BH$36,2,0))</f>
        <v>15</v>
      </c>
      <c r="Y100" s="639">
        <f>SUM(A100:J102)</f>
        <v>6</v>
      </c>
      <c r="Z100" s="639">
        <f>SUM(A100:J102)+X100</f>
        <v>21</v>
      </c>
      <c r="AA100" s="636">
        <f>IF((Z100-(VLOOKUP(K100,CBGV!$B$4:$P$70,13,0)))&lt;=-14,"/",(Z100-(VLOOKUP(K100,CBGV!$B$4:$P$70,13,0))))</f>
        <v>4</v>
      </c>
      <c r="AB100" s="88" t="s">
        <v>29</v>
      </c>
    </row>
    <row r="101" spans="1:28" ht="11.25" customHeight="1" x14ac:dyDescent="0.25">
      <c r="A101" s="111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B101" s="111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C101" s="111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D101" s="111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1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1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1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1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1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1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641"/>
      <c r="L101" s="637"/>
      <c r="M101" s="55" t="s">
        <v>310</v>
      </c>
      <c r="N101" s="275" t="s">
        <v>215</v>
      </c>
      <c r="O101" s="276" t="s">
        <v>473</v>
      </c>
      <c r="P101" s="281" t="s">
        <v>124</v>
      </c>
      <c r="Q101" s="281"/>
      <c r="R101" s="282"/>
      <c r="S101" s="282"/>
      <c r="T101" s="282"/>
      <c r="U101" s="283"/>
      <c r="V101" s="283"/>
      <c r="W101" s="284"/>
      <c r="X101" s="637"/>
      <c r="Y101" s="637"/>
      <c r="Z101" s="637"/>
      <c r="AA101" s="637"/>
      <c r="AB101" s="88" t="s">
        <v>29</v>
      </c>
    </row>
    <row r="102" spans="1:28" ht="11.25" customHeight="1" x14ac:dyDescent="0.25">
      <c r="A102" s="111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B102" s="111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1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1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1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1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1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1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1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1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642"/>
      <c r="L102" s="638"/>
      <c r="M102" s="56" t="s">
        <v>308</v>
      </c>
      <c r="N102" s="285"/>
      <c r="O102" s="286"/>
      <c r="P102" s="286"/>
      <c r="Q102" s="286"/>
      <c r="R102" s="287"/>
      <c r="S102" s="287"/>
      <c r="T102" s="287"/>
      <c r="U102" s="288"/>
      <c r="V102" s="288"/>
      <c r="W102" s="289"/>
      <c r="X102" s="638"/>
      <c r="Y102" s="638"/>
      <c r="Z102" s="638"/>
      <c r="AA102" s="638"/>
      <c r="AB102" s="88" t="s">
        <v>29</v>
      </c>
    </row>
    <row r="103" spans="1:28" ht="11.25" customHeight="1" x14ac:dyDescent="0.25">
      <c r="A103" s="111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11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C103" s="111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D103" s="111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E103" s="111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1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1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1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1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1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633" t="s">
        <v>78</v>
      </c>
      <c r="L103" s="636" t="str">
        <f>IF(K103=0,0,VLOOKUP(K103,CBGV!$B$4:$M$70,12,0))</f>
        <v>11A3</v>
      </c>
      <c r="M103" s="57" t="s">
        <v>186</v>
      </c>
      <c r="N103" s="275" t="s">
        <v>197</v>
      </c>
      <c r="O103" s="276" t="s">
        <v>142</v>
      </c>
      <c r="P103" s="276" t="s">
        <v>24</v>
      </c>
      <c r="Q103" s="276" t="s">
        <v>203</v>
      </c>
      <c r="R103" s="277"/>
      <c r="S103" s="277"/>
      <c r="T103" s="277"/>
      <c r="U103" s="278"/>
      <c r="V103" s="278"/>
      <c r="W103" s="279"/>
      <c r="X103" s="643">
        <f>IF(K103=0,0,VLOOKUP(K103,CBGV!$B$4:$P$70,14,0))+IF(L103=0,0,VLOOKUP(L103,'T-L-K'!$B$7:$BH$36,2,0))</f>
        <v>5</v>
      </c>
      <c r="Y103" s="646">
        <f>SUM(A103:J105)</f>
        <v>16</v>
      </c>
      <c r="Z103" s="646">
        <f>SUM(A103:J105)+X103</f>
        <v>21</v>
      </c>
      <c r="AA103" s="643">
        <f>IF((Z103-(VLOOKUP(K103,CBGV!$B$4:$P$70,13,0)))&lt;=-14,"/",(Z103-(VLOOKUP(K103,CBGV!$B$4:$P$70,13,0))))</f>
        <v>4</v>
      </c>
      <c r="AB103" s="88" t="s">
        <v>29</v>
      </c>
    </row>
    <row r="104" spans="1:28" ht="11.25" customHeight="1" x14ac:dyDescent="0.25">
      <c r="A104" s="111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B104" s="111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C104" s="111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D104" s="111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1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1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1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1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1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1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634"/>
      <c r="L104" s="637"/>
      <c r="M104" s="51" t="s">
        <v>310</v>
      </c>
      <c r="N104" s="275" t="s">
        <v>197</v>
      </c>
      <c r="O104" s="280" t="s">
        <v>142</v>
      </c>
      <c r="P104" s="281" t="s">
        <v>24</v>
      </c>
      <c r="Q104" s="281"/>
      <c r="R104" s="282"/>
      <c r="S104" s="282"/>
      <c r="T104" s="282"/>
      <c r="U104" s="283"/>
      <c r="V104" s="283"/>
      <c r="W104" s="284"/>
      <c r="X104" s="644"/>
      <c r="Y104" s="644"/>
      <c r="Z104" s="644"/>
      <c r="AA104" s="644"/>
      <c r="AB104" s="88" t="s">
        <v>29</v>
      </c>
    </row>
    <row r="105" spans="1:28" ht="11.25" customHeight="1" x14ac:dyDescent="0.25">
      <c r="A105" s="111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1</v>
      </c>
      <c r="B105" s="111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1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1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1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1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1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1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1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1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635"/>
      <c r="L105" s="638"/>
      <c r="M105" s="52" t="s">
        <v>308</v>
      </c>
      <c r="N105" s="285" t="s">
        <v>142</v>
      </c>
      <c r="O105" s="286"/>
      <c r="P105" s="286"/>
      <c r="Q105" s="286"/>
      <c r="R105" s="287"/>
      <c r="S105" s="287"/>
      <c r="T105" s="287"/>
      <c r="U105" s="288"/>
      <c r="V105" s="288"/>
      <c r="W105" s="289"/>
      <c r="X105" s="645"/>
      <c r="Y105" s="645"/>
      <c r="Z105" s="645"/>
      <c r="AA105" s="645"/>
      <c r="AB105" s="88" t="s">
        <v>29</v>
      </c>
    </row>
    <row r="106" spans="1:28" ht="11.25" customHeight="1" x14ac:dyDescent="0.25">
      <c r="A106" s="111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11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C106" s="111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D106" s="111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11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11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1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1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1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1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640" t="s">
        <v>79</v>
      </c>
      <c r="L106" s="636" t="str">
        <f>IF(K106=0,0,VLOOKUP(K106,CBGV!$B$4:$M$70,12,0))</f>
        <v>11A1</v>
      </c>
      <c r="M106" s="54" t="s">
        <v>186</v>
      </c>
      <c r="N106" s="275" t="s">
        <v>18</v>
      </c>
      <c r="O106" s="480" t="s">
        <v>138</v>
      </c>
      <c r="P106" s="276" t="s">
        <v>196</v>
      </c>
      <c r="Q106" s="276"/>
      <c r="R106" s="277"/>
      <c r="S106" s="277"/>
      <c r="T106" s="277"/>
      <c r="U106" s="278"/>
      <c r="V106" s="278"/>
      <c r="W106" s="279"/>
      <c r="X106" s="636">
        <f>IF(K106=0,0,VLOOKUP(K106,CBGV!$B$4:$P$70,14,0))+IF(L106=0,0,VLOOKUP(L106,'T-L-K'!$B$7:$BH$36,2,0))</f>
        <v>5</v>
      </c>
      <c r="Y106" s="639">
        <f>SUM(A106:J108)</f>
        <v>16</v>
      </c>
      <c r="Z106" s="639">
        <f>SUM(A106:J108)+X106</f>
        <v>21</v>
      </c>
      <c r="AA106" s="636">
        <f>IF((Z106-(VLOOKUP(K106,CBGV!$B$4:$P$70,13,0)))&lt;=-14,"/",(Z106-(VLOOKUP(K106,CBGV!$B$4:$P$70,13,0))))</f>
        <v>4</v>
      </c>
      <c r="AB106" s="88" t="s">
        <v>29</v>
      </c>
    </row>
    <row r="107" spans="1:28" ht="11.25" customHeight="1" x14ac:dyDescent="0.25">
      <c r="A107" s="111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B107" s="111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C107" s="111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D107" s="111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E107" s="111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F107" s="111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1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1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1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1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641"/>
      <c r="L107" s="637"/>
      <c r="M107" s="55" t="s">
        <v>310</v>
      </c>
      <c r="N107" s="275" t="s">
        <v>18</v>
      </c>
      <c r="O107" s="281" t="s">
        <v>138</v>
      </c>
      <c r="P107" s="281" t="s">
        <v>196</v>
      </c>
      <c r="Q107" s="281" t="s">
        <v>203</v>
      </c>
      <c r="R107" s="282" t="s">
        <v>204</v>
      </c>
      <c r="S107" s="282"/>
      <c r="T107" s="282"/>
      <c r="U107" s="283"/>
      <c r="V107" s="283"/>
      <c r="W107" s="284"/>
      <c r="X107" s="637"/>
      <c r="Y107" s="637"/>
      <c r="Z107" s="637"/>
      <c r="AA107" s="637"/>
      <c r="AB107" s="88" t="s">
        <v>29</v>
      </c>
    </row>
    <row r="108" spans="1:28" ht="11.25" customHeight="1" x14ac:dyDescent="0.25">
      <c r="A108" s="111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B108" s="111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1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1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1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1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1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1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1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1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642"/>
      <c r="L108" s="638"/>
      <c r="M108" s="56" t="s">
        <v>308</v>
      </c>
      <c r="N108" s="285" t="s">
        <v>18</v>
      </c>
      <c r="O108" s="286"/>
      <c r="P108" s="286"/>
      <c r="Q108" s="286"/>
      <c r="R108" s="287"/>
      <c r="S108" s="287"/>
      <c r="T108" s="287"/>
      <c r="U108" s="288"/>
      <c r="V108" s="288"/>
      <c r="W108" s="289"/>
      <c r="X108" s="638"/>
      <c r="Y108" s="638"/>
      <c r="Z108" s="638"/>
      <c r="AA108" s="638"/>
      <c r="AB108" s="88" t="s">
        <v>29</v>
      </c>
    </row>
    <row r="109" spans="1:28" ht="11.25" customHeight="1" x14ac:dyDescent="0.25">
      <c r="A109" s="111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B109" s="111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1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1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E109" s="111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1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1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1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1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1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633" t="s">
        <v>81</v>
      </c>
      <c r="L109" s="636" t="str">
        <f>IF(K109=0,0,VLOOKUP(K109,CBGV!$B$4:$M$70,12,0))</f>
        <v>10A1</v>
      </c>
      <c r="M109" s="57" t="s">
        <v>186</v>
      </c>
      <c r="N109" s="275" t="s">
        <v>31</v>
      </c>
      <c r="O109" s="276" t="s">
        <v>148</v>
      </c>
      <c r="P109" s="276" t="s">
        <v>198</v>
      </c>
      <c r="Q109" s="276"/>
      <c r="R109" s="277"/>
      <c r="S109" s="277"/>
      <c r="T109" s="277"/>
      <c r="U109" s="278"/>
      <c r="V109" s="278"/>
      <c r="W109" s="279"/>
      <c r="X109" s="643">
        <f>IF(K109=0,0,VLOOKUP(K109,CBGV!$B$4:$P$70,14,0))+IF(L109=0,0,VLOOKUP(L109,'T-L-K'!$B$7:$BH$36,2,0))</f>
        <v>5</v>
      </c>
      <c r="Y109" s="646">
        <f>SUM(A109:J111)</f>
        <v>16</v>
      </c>
      <c r="Z109" s="646">
        <f>SUM(A109:J111)+X109</f>
        <v>21</v>
      </c>
      <c r="AA109" s="643">
        <f>IF((Z109-(VLOOKUP(K109,CBGV!$B$4:$P$70,13,0)))&lt;=-14,"/",(Z109-(VLOOKUP(K109,CBGV!$B$4:$P$70,13,0))))</f>
        <v>4</v>
      </c>
      <c r="AB109" s="88" t="s">
        <v>29</v>
      </c>
    </row>
    <row r="110" spans="1:28" ht="11.25" customHeight="1" x14ac:dyDescent="0.25">
      <c r="A110" s="111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1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1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1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E110" s="111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F110" s="111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1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1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1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1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634"/>
      <c r="L110" s="637"/>
      <c r="M110" s="51" t="s">
        <v>310</v>
      </c>
      <c r="N110" s="275" t="s">
        <v>31</v>
      </c>
      <c r="O110" s="276" t="s">
        <v>148</v>
      </c>
      <c r="P110" s="276" t="s">
        <v>198</v>
      </c>
      <c r="Q110" s="281" t="s">
        <v>201</v>
      </c>
      <c r="R110" s="277" t="s">
        <v>116</v>
      </c>
      <c r="S110" s="282"/>
      <c r="T110" s="282"/>
      <c r="U110" s="283"/>
      <c r="V110" s="283"/>
      <c r="W110" s="284"/>
      <c r="X110" s="644"/>
      <c r="Y110" s="644"/>
      <c r="Z110" s="644"/>
      <c r="AA110" s="644"/>
      <c r="AB110" s="88" t="s">
        <v>29</v>
      </c>
    </row>
    <row r="111" spans="1:28" ht="11.25" customHeight="1" x14ac:dyDescent="0.25">
      <c r="A111" s="111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1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C111" s="111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1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1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1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1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1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1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1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635"/>
      <c r="L111" s="638"/>
      <c r="M111" s="52" t="s">
        <v>308</v>
      </c>
      <c r="N111" s="285" t="s">
        <v>31</v>
      </c>
      <c r="O111" s="485" t="s">
        <v>201</v>
      </c>
      <c r="P111" s="286"/>
      <c r="Q111" s="286"/>
      <c r="R111" s="287"/>
      <c r="S111" s="287"/>
      <c r="T111" s="287"/>
      <c r="U111" s="288"/>
      <c r="V111" s="288"/>
      <c r="W111" s="289"/>
      <c r="X111" s="645"/>
      <c r="Y111" s="645"/>
      <c r="Z111" s="645"/>
      <c r="AA111" s="645"/>
      <c r="AB111" s="88" t="s">
        <v>29</v>
      </c>
    </row>
    <row r="112" spans="1:28" ht="11.25" customHeight="1" x14ac:dyDescent="0.25">
      <c r="A112" s="111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1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1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1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11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1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1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1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1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1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640" t="s">
        <v>82</v>
      </c>
      <c r="L112" s="636">
        <f>IF(K112=0,0,VLOOKUP(K112,CBGV!$B$4:$M$70,12,0))</f>
        <v>0</v>
      </c>
      <c r="M112" s="54" t="s">
        <v>186</v>
      </c>
      <c r="N112" s="487" t="s">
        <v>21</v>
      </c>
      <c r="O112" s="488" t="s">
        <v>201</v>
      </c>
      <c r="P112" s="488" t="s">
        <v>202</v>
      </c>
      <c r="Q112" s="488"/>
      <c r="R112" s="489"/>
      <c r="S112" s="277"/>
      <c r="T112" s="277"/>
      <c r="U112" s="278"/>
      <c r="V112" s="278"/>
      <c r="W112" s="279"/>
      <c r="X112" s="636">
        <f>IF(K112=0,0,VLOOKUP(K112,CBGV!$B$4:$P$70,14,0))+IF(L112=0,0,VLOOKUP(L112,'T-L-K'!$B$7:$BH$36,2,0))</f>
        <v>0</v>
      </c>
      <c r="Y112" s="639">
        <f>SUM(A112:J114)</f>
        <v>17</v>
      </c>
      <c r="Z112" s="639">
        <f>SUM(A112:J114)+X112</f>
        <v>17</v>
      </c>
      <c r="AA112" s="636">
        <f>IF((Z112-(VLOOKUP(K112,CBGV!$B$4:$P$70,13,0)))&lt;=-14,"/",(Z112-(VLOOKUP(K112,CBGV!$B$4:$P$70,13,0))))</f>
        <v>0</v>
      </c>
      <c r="AB112" s="88" t="s">
        <v>29</v>
      </c>
    </row>
    <row r="113" spans="1:28" ht="11.25" customHeight="1" x14ac:dyDescent="0.25">
      <c r="A113" s="111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1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1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1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1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F113" s="111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1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1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1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1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641"/>
      <c r="L113" s="637"/>
      <c r="M113" s="55" t="s">
        <v>310</v>
      </c>
      <c r="N113" s="490" t="s">
        <v>24</v>
      </c>
      <c r="O113" s="483" t="s">
        <v>142</v>
      </c>
      <c r="P113" s="483" t="s">
        <v>124</v>
      </c>
      <c r="Q113" s="483" t="s">
        <v>138</v>
      </c>
      <c r="R113" s="484" t="s">
        <v>204</v>
      </c>
      <c r="S113" s="282"/>
      <c r="T113" s="282"/>
      <c r="U113" s="283"/>
      <c r="V113" s="283"/>
      <c r="W113" s="284"/>
      <c r="X113" s="637"/>
      <c r="Y113" s="637"/>
      <c r="Z113" s="637"/>
      <c r="AA113" s="637"/>
      <c r="AB113" s="88" t="s">
        <v>29</v>
      </c>
    </row>
    <row r="114" spans="1:28" ht="11.25" customHeight="1" x14ac:dyDescent="0.25">
      <c r="A114" s="111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1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C114" s="111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1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1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1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1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1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1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1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642"/>
      <c r="L114" s="638"/>
      <c r="M114" s="56" t="s">
        <v>308</v>
      </c>
      <c r="N114" s="482" t="s">
        <v>138</v>
      </c>
      <c r="O114" s="485" t="s">
        <v>201</v>
      </c>
      <c r="P114" s="485"/>
      <c r="Q114" s="485"/>
      <c r="R114" s="486"/>
      <c r="S114" s="287"/>
      <c r="T114" s="287"/>
      <c r="U114" s="288"/>
      <c r="V114" s="288"/>
      <c r="W114" s="289"/>
      <c r="X114" s="638"/>
      <c r="Y114" s="638"/>
      <c r="Z114" s="638"/>
      <c r="AA114" s="638"/>
      <c r="AB114" s="88" t="s">
        <v>29</v>
      </c>
    </row>
    <row r="115" spans="1:28" ht="11.25" customHeight="1" x14ac:dyDescent="0.25">
      <c r="A115" s="111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B115" s="111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C115" s="111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D115" s="111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E115" s="111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1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1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1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1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1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633" t="s">
        <v>83</v>
      </c>
      <c r="L115" s="636">
        <f>IF(K115=0,0,VLOOKUP(K115,CBGV!$B$4:$M$70,12,0))</f>
        <v>0</v>
      </c>
      <c r="M115" s="57" t="s">
        <v>187</v>
      </c>
      <c r="N115" s="275" t="s">
        <v>30</v>
      </c>
      <c r="O115" s="276" t="s">
        <v>213</v>
      </c>
      <c r="P115" s="276" t="s">
        <v>215</v>
      </c>
      <c r="Q115" s="276" t="s">
        <v>219</v>
      </c>
      <c r="R115" s="277"/>
      <c r="S115" s="277"/>
      <c r="T115" s="277"/>
      <c r="U115" s="278"/>
      <c r="V115" s="278"/>
      <c r="W115" s="279"/>
      <c r="X115" s="643">
        <f>IF(K115=0,0,VLOOKUP(K115,CBGV!$B$4:$P$70,14,0))+IF(L115=0,0,VLOOKUP(L115,'T-L-K'!$B$7:$BH$36,2,0))</f>
        <v>3</v>
      </c>
      <c r="Y115" s="646">
        <f>SUM(A115:J117)</f>
        <v>17</v>
      </c>
      <c r="Z115" s="646">
        <f>SUM(A115:J117)+X115</f>
        <v>20</v>
      </c>
      <c r="AA115" s="643">
        <f>IF((Z115-(VLOOKUP(K115,CBGV!$B$4:$P$70,13,0)))&lt;=-14,"/",(Z115-(VLOOKUP(K115,CBGV!$B$4:$P$70,13,0))))</f>
        <v>3</v>
      </c>
      <c r="AB115" s="88" t="s">
        <v>84</v>
      </c>
    </row>
    <row r="116" spans="1:28" ht="11.25" customHeight="1" x14ac:dyDescent="0.25">
      <c r="A116" s="111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B116" s="111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11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11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11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F116" s="111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1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1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1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1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634"/>
      <c r="L116" s="637"/>
      <c r="M116" s="51" t="s">
        <v>187</v>
      </c>
      <c r="N116" s="280" t="s">
        <v>18</v>
      </c>
      <c r="O116" s="281" t="s">
        <v>124</v>
      </c>
      <c r="P116" s="281" t="s">
        <v>138</v>
      </c>
      <c r="Q116" s="281" t="s">
        <v>204</v>
      </c>
      <c r="R116" s="282" t="s">
        <v>304</v>
      </c>
      <c r="S116" s="282"/>
      <c r="T116" s="282"/>
      <c r="U116" s="283"/>
      <c r="V116" s="283"/>
      <c r="W116" s="284"/>
      <c r="X116" s="644"/>
      <c r="Y116" s="644"/>
      <c r="Z116" s="644"/>
      <c r="AA116" s="644"/>
      <c r="AB116" s="88" t="s">
        <v>84</v>
      </c>
    </row>
    <row r="117" spans="1:28" ht="11.25" customHeight="1" x14ac:dyDescent="0.25">
      <c r="A117" s="111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1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1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11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11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11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11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1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1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1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635"/>
      <c r="L117" s="638"/>
      <c r="M117" s="52" t="s">
        <v>310</v>
      </c>
      <c r="N117" s="285" t="s">
        <v>18</v>
      </c>
      <c r="O117" s="286" t="s">
        <v>219</v>
      </c>
      <c r="P117" s="286"/>
      <c r="Q117" s="286"/>
      <c r="R117" s="287"/>
      <c r="S117" s="287"/>
      <c r="T117" s="287"/>
      <c r="U117" s="288"/>
      <c r="V117" s="288"/>
      <c r="W117" s="289"/>
      <c r="X117" s="645"/>
      <c r="Y117" s="645"/>
      <c r="Z117" s="645"/>
      <c r="AA117" s="645"/>
      <c r="AB117" s="88" t="s">
        <v>84</v>
      </c>
    </row>
    <row r="118" spans="1:28" ht="11.25" customHeight="1" x14ac:dyDescent="0.25">
      <c r="A118" s="111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11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11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11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E118" s="111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1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1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1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1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1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640" t="s">
        <v>85</v>
      </c>
      <c r="L118" s="636" t="str">
        <f>IF(K118=0,0,VLOOKUP(K118,CBGV!$B$4:$M$70,12,0))</f>
        <v>12A10</v>
      </c>
      <c r="M118" s="54" t="s">
        <v>187</v>
      </c>
      <c r="N118" s="275" t="s">
        <v>473</v>
      </c>
      <c r="O118" s="276" t="s">
        <v>27</v>
      </c>
      <c r="P118" s="276" t="s">
        <v>214</v>
      </c>
      <c r="Q118" s="276"/>
      <c r="R118" s="277"/>
      <c r="S118" s="277"/>
      <c r="T118" s="277"/>
      <c r="U118" s="278"/>
      <c r="V118" s="278"/>
      <c r="W118" s="279"/>
      <c r="X118" s="636">
        <f>IF(K118=0,0,VLOOKUP(K118,CBGV!$B$4:$P$70,14,0))+IF(L118=0,0,VLOOKUP(L118,'T-L-K'!$B$7:$BH$36,2,0))</f>
        <v>5</v>
      </c>
      <c r="Y118" s="639">
        <f>SUM(A118:J120)</f>
        <v>13</v>
      </c>
      <c r="Z118" s="639">
        <f>SUM(A118:J120)+X118</f>
        <v>18</v>
      </c>
      <c r="AA118" s="636">
        <f>IF((Z118-(VLOOKUP(K118,CBGV!$B$4:$P$70,13,0)))&lt;=-14,"/",(Z118-(VLOOKUP(K118,CBGV!$B$4:$P$70,13,0))))</f>
        <v>1</v>
      </c>
      <c r="AB118" s="88" t="s">
        <v>84</v>
      </c>
    </row>
    <row r="119" spans="1:28" ht="11.25" customHeight="1" x14ac:dyDescent="0.25">
      <c r="A119" s="111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B119" s="111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1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1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1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11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11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11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1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1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641"/>
      <c r="L119" s="637"/>
      <c r="M119" s="55" t="s">
        <v>187</v>
      </c>
      <c r="N119" s="280" t="s">
        <v>24</v>
      </c>
      <c r="O119" s="281" t="s">
        <v>142</v>
      </c>
      <c r="P119" s="281" t="s">
        <v>201</v>
      </c>
      <c r="Q119" s="281" t="s">
        <v>202</v>
      </c>
      <c r="R119" s="282" t="s">
        <v>203</v>
      </c>
      <c r="S119" s="282"/>
      <c r="T119" s="282"/>
      <c r="U119" s="283"/>
      <c r="V119" s="283"/>
      <c r="W119" s="284"/>
      <c r="X119" s="637"/>
      <c r="Y119" s="637"/>
      <c r="Z119" s="637"/>
      <c r="AA119" s="637"/>
      <c r="AB119" s="88" t="s">
        <v>84</v>
      </c>
    </row>
    <row r="120" spans="1:28" ht="11.25" customHeight="1" x14ac:dyDescent="0.25">
      <c r="A120" s="111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1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1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11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11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11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11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1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1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1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642"/>
      <c r="L120" s="638"/>
      <c r="M120" s="56" t="s">
        <v>310</v>
      </c>
      <c r="N120" s="285" t="s">
        <v>27</v>
      </c>
      <c r="O120" s="286" t="s">
        <v>473</v>
      </c>
      <c r="P120" s="286"/>
      <c r="Q120" s="286"/>
      <c r="R120" s="287"/>
      <c r="S120" s="287"/>
      <c r="T120" s="287"/>
      <c r="U120" s="288"/>
      <c r="V120" s="288"/>
      <c r="W120" s="289"/>
      <c r="X120" s="638"/>
      <c r="Y120" s="638"/>
      <c r="Z120" s="638"/>
      <c r="AA120" s="638"/>
      <c r="AB120" s="88" t="s">
        <v>84</v>
      </c>
    </row>
    <row r="121" spans="1:28" ht="11.25" customHeight="1" x14ac:dyDescent="0.25">
      <c r="A121" s="111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11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11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11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1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1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1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1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1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1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633" t="s">
        <v>86</v>
      </c>
      <c r="L121" s="636">
        <f>IF(K121=0,0,VLOOKUP(K121,CBGV!$B$4:$M$70,12,0))</f>
        <v>0</v>
      </c>
      <c r="M121" s="57" t="s">
        <v>187</v>
      </c>
      <c r="N121" s="275" t="s">
        <v>20</v>
      </c>
      <c r="O121" s="276" t="s">
        <v>140</v>
      </c>
      <c r="P121" s="276" t="s">
        <v>173</v>
      </c>
      <c r="Q121" s="276"/>
      <c r="R121" s="277"/>
      <c r="S121" s="277"/>
      <c r="T121" s="277"/>
      <c r="U121" s="278"/>
      <c r="V121" s="278"/>
      <c r="W121" s="279"/>
      <c r="X121" s="643">
        <f>IF(K121=0,0,VLOOKUP(K121,CBGV!$B$4:$P$70,14,0))+IF(L121=0,0,VLOOKUP(L121,'T-L-K'!$B$7:$BH$36,2,0))</f>
        <v>0</v>
      </c>
      <c r="Y121" s="646">
        <f>SUM(A121:J123)</f>
        <v>13</v>
      </c>
      <c r="Z121" s="646">
        <f>SUM(A121:J123)+X121</f>
        <v>13</v>
      </c>
      <c r="AA121" s="643">
        <f>IF((Z121-(VLOOKUP(K121,CBGV!$B$4:$P$70,13,0)))&lt;=-14,"/",(Z121-(VLOOKUP(K121,CBGV!$B$4:$P$70,13,0))))</f>
        <v>-4</v>
      </c>
      <c r="AB121" s="88" t="s">
        <v>84</v>
      </c>
    </row>
    <row r="122" spans="1:28" ht="11.25" customHeight="1" x14ac:dyDescent="0.25">
      <c r="A122" s="111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1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1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1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1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1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11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1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1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1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634"/>
      <c r="L122" s="637"/>
      <c r="M122" s="51" t="s">
        <v>310</v>
      </c>
      <c r="N122" s="280" t="s">
        <v>31</v>
      </c>
      <c r="O122" s="281" t="s">
        <v>21</v>
      </c>
      <c r="P122" s="281" t="s">
        <v>148</v>
      </c>
      <c r="Q122" s="281" t="s">
        <v>197</v>
      </c>
      <c r="R122" s="282" t="s">
        <v>198</v>
      </c>
      <c r="S122" s="282"/>
      <c r="T122" s="282"/>
      <c r="U122" s="283"/>
      <c r="V122" s="283"/>
      <c r="W122" s="284"/>
      <c r="X122" s="644"/>
      <c r="Y122" s="644"/>
      <c r="Z122" s="644"/>
      <c r="AA122" s="644"/>
      <c r="AB122" s="88" t="s">
        <v>84</v>
      </c>
    </row>
    <row r="123" spans="1:28" ht="11.25" customHeight="1" x14ac:dyDescent="0.25">
      <c r="A123" s="111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1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1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11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11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11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11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1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1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1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635"/>
      <c r="L123" s="638"/>
      <c r="M123" s="52" t="s">
        <v>308</v>
      </c>
      <c r="N123" s="285" t="s">
        <v>20</v>
      </c>
      <c r="O123" s="286" t="s">
        <v>140</v>
      </c>
      <c r="P123" s="286"/>
      <c r="Q123" s="286"/>
      <c r="R123" s="287"/>
      <c r="S123" s="287"/>
      <c r="T123" s="287"/>
      <c r="U123" s="288"/>
      <c r="V123" s="288"/>
      <c r="W123" s="289"/>
      <c r="X123" s="645"/>
      <c r="Y123" s="645"/>
      <c r="Z123" s="645"/>
      <c r="AA123" s="645"/>
      <c r="AB123" s="88" t="s">
        <v>84</v>
      </c>
    </row>
    <row r="124" spans="1:28" ht="11.25" customHeight="1" x14ac:dyDescent="0.25">
      <c r="A124" s="111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1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1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1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1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1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1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1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1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1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640" t="s">
        <v>498</v>
      </c>
      <c r="L124" s="636" t="str">
        <f>IF(K124=0,0,VLOOKUP(K124,CBGV!$B$4:$M$70,12,0))</f>
        <v>10A5</v>
      </c>
      <c r="M124" s="54" t="s">
        <v>187</v>
      </c>
      <c r="N124" s="275" t="s">
        <v>121</v>
      </c>
      <c r="O124" s="276" t="s">
        <v>116</v>
      </c>
      <c r="P124" s="276" t="s">
        <v>196</v>
      </c>
      <c r="Q124" s="276"/>
      <c r="R124" s="277"/>
      <c r="S124" s="277"/>
      <c r="T124" s="277"/>
      <c r="U124" s="278"/>
      <c r="V124" s="278"/>
      <c r="W124" s="279"/>
      <c r="X124" s="639">
        <f>IF(K124=0,0,VLOOKUP(K124,CBGV!$B$4:$P$70,14,0))+IF(L124=0,0,VLOOKUP(L124,'T-L-K'!$B$7:$BH$36,2,0))</f>
        <v>5</v>
      </c>
      <c r="Y124" s="639">
        <f>SUM(A124:J126)</f>
        <v>26</v>
      </c>
      <c r="Z124" s="639">
        <f>SUM(A124:J126)+X124</f>
        <v>31</v>
      </c>
      <c r="AA124" s="636">
        <f>IF((Z124-(VLOOKUP(K124,CBGV!$B$4:$P$70,13,0)))&lt;=-14,"/",(Z124-(VLOOKUP(K124,CBGV!$B$4:$P$70,13,0))))</f>
        <v>14</v>
      </c>
      <c r="AB124" s="88" t="s">
        <v>84</v>
      </c>
    </row>
    <row r="125" spans="1:28" ht="11.25" customHeight="1" x14ac:dyDescent="0.25">
      <c r="A125" s="111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1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1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1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1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F125" s="111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G125" s="111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H125" s="111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I125" s="111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J125" s="111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K125" s="641"/>
      <c r="L125" s="637"/>
      <c r="M125" s="55" t="s">
        <v>310</v>
      </c>
      <c r="N125" s="280" t="s">
        <v>31</v>
      </c>
      <c r="O125" s="281" t="s">
        <v>21</v>
      </c>
      <c r="P125" s="281" t="s">
        <v>148</v>
      </c>
      <c r="Q125" s="281" t="s">
        <v>121</v>
      </c>
      <c r="R125" s="282" t="s">
        <v>116</v>
      </c>
      <c r="S125" s="282" t="s">
        <v>196</v>
      </c>
      <c r="T125" s="282" t="s">
        <v>197</v>
      </c>
      <c r="U125" s="283" t="s">
        <v>198</v>
      </c>
      <c r="V125" s="283" t="s">
        <v>24</v>
      </c>
      <c r="W125" s="284" t="s">
        <v>142</v>
      </c>
      <c r="X125" s="637"/>
      <c r="Y125" s="637"/>
      <c r="Z125" s="637"/>
      <c r="AA125" s="637"/>
      <c r="AB125" s="88" t="s">
        <v>84</v>
      </c>
    </row>
    <row r="126" spans="1:28" ht="11.25" customHeight="1" x14ac:dyDescent="0.25">
      <c r="A126" s="111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1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C126" s="111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D126" s="111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E126" s="111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F126" s="111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G126" s="111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H126" s="111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I126" s="111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J126" s="111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K126" s="642"/>
      <c r="L126" s="638"/>
      <c r="M126" s="56" t="s">
        <v>308</v>
      </c>
      <c r="N126" s="285" t="s">
        <v>138</v>
      </c>
      <c r="O126" s="286" t="s">
        <v>201</v>
      </c>
      <c r="P126" s="286" t="s">
        <v>202</v>
      </c>
      <c r="Q126" s="286" t="s">
        <v>203</v>
      </c>
      <c r="R126" s="287" t="s">
        <v>204</v>
      </c>
      <c r="S126" s="287" t="s">
        <v>304</v>
      </c>
      <c r="T126" s="287" t="s">
        <v>30</v>
      </c>
      <c r="U126" s="288" t="s">
        <v>173</v>
      </c>
      <c r="V126" s="288" t="s">
        <v>213</v>
      </c>
      <c r="W126" s="289" t="s">
        <v>214</v>
      </c>
      <c r="X126" s="638"/>
      <c r="Y126" s="638"/>
      <c r="Z126" s="638"/>
      <c r="AA126" s="638"/>
      <c r="AB126" s="88" t="s">
        <v>84</v>
      </c>
    </row>
    <row r="127" spans="1:28" ht="11.25" customHeight="1" x14ac:dyDescent="0.25">
      <c r="A127" s="111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1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1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1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11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F127" s="111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G127" s="111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H127" s="111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1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1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633" t="s">
        <v>88</v>
      </c>
      <c r="L127" s="636">
        <f>IF(K127=0,0,VLOOKUP(K127,CBGV!$B$4:$M$70,12,0))</f>
        <v>0</v>
      </c>
      <c r="M127" s="57" t="s">
        <v>311</v>
      </c>
      <c r="N127" s="275" t="s">
        <v>140</v>
      </c>
      <c r="O127" s="276" t="s">
        <v>173</v>
      </c>
      <c r="P127" s="276" t="s">
        <v>219</v>
      </c>
      <c r="Q127" s="276" t="s">
        <v>473</v>
      </c>
      <c r="R127" s="277" t="s">
        <v>21</v>
      </c>
      <c r="S127" s="277" t="s">
        <v>148</v>
      </c>
      <c r="T127" s="277" t="s">
        <v>116</v>
      </c>
      <c r="U127" s="278"/>
      <c r="V127" s="278"/>
      <c r="W127" s="279"/>
      <c r="X127" s="643">
        <f>IF(K127=0,0,VLOOKUP(K127,CBGV!$B$4:$P$70,14,0))+IF(L127=0,0,VLOOKUP(L127,'T-L-K'!$B$7:$BH$36,2,0))</f>
        <v>1</v>
      </c>
      <c r="Y127" s="646">
        <f>SUM(A127:J129)</f>
        <v>12</v>
      </c>
      <c r="Z127" s="646">
        <f>SUM(A127:J129)+X127</f>
        <v>13</v>
      </c>
      <c r="AA127" s="643">
        <f>IF((Z127-(VLOOKUP(K127,CBGV!$B$4:$P$70,13,0)))&lt;=-14,"/",(Z127-(VLOOKUP(K127,CBGV!$B$4:$P$70,13,0))))</f>
        <v>-4</v>
      </c>
      <c r="AB127" s="88" t="s">
        <v>84</v>
      </c>
    </row>
    <row r="128" spans="1:28" ht="11.25" customHeight="1" x14ac:dyDescent="0.25">
      <c r="A128" s="111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11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11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11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11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11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11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11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11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11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634"/>
      <c r="L128" s="637"/>
      <c r="M128" s="51" t="s">
        <v>310</v>
      </c>
      <c r="N128" s="280"/>
      <c r="O128" s="281"/>
      <c r="P128" s="281"/>
      <c r="Q128" s="281"/>
      <c r="R128" s="282"/>
      <c r="S128" s="282"/>
      <c r="T128" s="282"/>
      <c r="U128" s="283"/>
      <c r="V128" s="283"/>
      <c r="W128" s="284"/>
      <c r="X128" s="644"/>
      <c r="Y128" s="644"/>
      <c r="Z128" s="644"/>
      <c r="AA128" s="644"/>
      <c r="AB128" s="88" t="s">
        <v>84</v>
      </c>
    </row>
    <row r="129" spans="1:28" ht="11.25" customHeight="1" x14ac:dyDescent="0.25">
      <c r="A129" s="111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11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11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11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11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11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11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11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11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11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635"/>
      <c r="L129" s="638"/>
      <c r="M129" s="52" t="s">
        <v>308</v>
      </c>
      <c r="N129" s="285"/>
      <c r="O129" s="286"/>
      <c r="P129" s="286"/>
      <c r="Q129" s="286"/>
      <c r="R129" s="287"/>
      <c r="S129" s="287"/>
      <c r="T129" s="287"/>
      <c r="U129" s="288"/>
      <c r="V129" s="288"/>
      <c r="W129" s="289"/>
      <c r="X129" s="645"/>
      <c r="Y129" s="645"/>
      <c r="Z129" s="645"/>
      <c r="AA129" s="645"/>
      <c r="AB129" s="88" t="s">
        <v>84</v>
      </c>
    </row>
    <row r="130" spans="1:28" ht="11.25" customHeight="1" x14ac:dyDescent="0.25">
      <c r="A130" s="111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B130" s="111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C130" s="111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D130" s="111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1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11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11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11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1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1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640" t="s">
        <v>425</v>
      </c>
      <c r="L130" s="636">
        <f>IF(K130=0,0,VLOOKUP(K130,CBGV!$B$4:$M$70,12,0))</f>
        <v>0</v>
      </c>
      <c r="M130" s="54" t="s">
        <v>311</v>
      </c>
      <c r="N130" s="275" t="s">
        <v>31</v>
      </c>
      <c r="O130" s="276" t="s">
        <v>21</v>
      </c>
      <c r="P130" s="276" t="s">
        <v>116</v>
      </c>
      <c r="Q130" s="276" t="s">
        <v>196</v>
      </c>
      <c r="R130" s="277"/>
      <c r="S130" s="277"/>
      <c r="T130" s="277"/>
      <c r="U130" s="278"/>
      <c r="V130" s="278"/>
      <c r="W130" s="279"/>
      <c r="X130" s="636">
        <f>IF(K130=0,0,VLOOKUP(K130,CBGV!$B$4:$P$70,14,0))+IF(L130=0,0,VLOOKUP(L130,'T-L-K'!$B$7:$BH$36,2,0))</f>
        <v>7.5</v>
      </c>
      <c r="Y130" s="639">
        <f>SUM(A130:J132)</f>
        <v>14</v>
      </c>
      <c r="Z130" s="639">
        <f>SUM(A130:J132)+X130</f>
        <v>21.5</v>
      </c>
      <c r="AA130" s="636">
        <f>IF((Z130-(VLOOKUP(K130,CBGV!$B$4:$P$70,13,0)))&lt;=-14,"/",(Z130-(VLOOKUP(K130,CBGV!$B$4:$P$70,13,0))))</f>
        <v>4.5</v>
      </c>
      <c r="AB130" s="88" t="s">
        <v>84</v>
      </c>
    </row>
    <row r="131" spans="1:28" ht="11.25" customHeight="1" x14ac:dyDescent="0.25">
      <c r="A131" s="111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11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11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11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11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11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11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H131" s="111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I131" s="111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J131" s="111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K131" s="641"/>
      <c r="L131" s="637"/>
      <c r="M131" s="55" t="s">
        <v>310</v>
      </c>
      <c r="N131" s="280" t="s">
        <v>31</v>
      </c>
      <c r="O131" s="281" t="s">
        <v>21</v>
      </c>
      <c r="P131" s="281" t="s">
        <v>148</v>
      </c>
      <c r="Q131" s="281" t="s">
        <v>121</v>
      </c>
      <c r="R131" s="282" t="s">
        <v>116</v>
      </c>
      <c r="S131" s="282" t="s">
        <v>201</v>
      </c>
      <c r="T131" s="282" t="s">
        <v>202</v>
      </c>
      <c r="U131" s="283" t="s">
        <v>203</v>
      </c>
      <c r="V131" s="283" t="s">
        <v>204</v>
      </c>
      <c r="W131" s="284" t="s">
        <v>304</v>
      </c>
      <c r="X131" s="637"/>
      <c r="Y131" s="637"/>
      <c r="Z131" s="637"/>
      <c r="AA131" s="637"/>
      <c r="AB131" s="88" t="s">
        <v>84</v>
      </c>
    </row>
    <row r="132" spans="1:28" ht="11.25" customHeight="1" x14ac:dyDescent="0.25">
      <c r="A132" s="111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11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1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1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1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1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1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1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1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1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642"/>
      <c r="L132" s="638"/>
      <c r="M132" s="56" t="s">
        <v>310</v>
      </c>
      <c r="N132" s="285"/>
      <c r="O132" s="286"/>
      <c r="P132" s="286"/>
      <c r="Q132" s="286"/>
      <c r="R132" s="287"/>
      <c r="S132" s="287"/>
      <c r="T132" s="287"/>
      <c r="U132" s="288"/>
      <c r="V132" s="288"/>
      <c r="W132" s="289"/>
      <c r="X132" s="638"/>
      <c r="Y132" s="638"/>
      <c r="Z132" s="638"/>
      <c r="AA132" s="638"/>
      <c r="AB132" s="88" t="s">
        <v>84</v>
      </c>
    </row>
    <row r="133" spans="1:28" ht="11.25" customHeight="1" x14ac:dyDescent="0.25">
      <c r="A133" s="111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11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C133" s="111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11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1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1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1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1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1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1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633" t="s">
        <v>90</v>
      </c>
      <c r="L133" s="636" t="str">
        <f>IF(K133=0,0,VLOOKUP(K133,CBGV!$B$4:$M$70,12,0))</f>
        <v>12A8</v>
      </c>
      <c r="M133" s="57" t="s">
        <v>32</v>
      </c>
      <c r="N133" s="275" t="s">
        <v>215</v>
      </c>
      <c r="O133" s="276" t="s">
        <v>473</v>
      </c>
      <c r="P133" s="276"/>
      <c r="Q133" s="276"/>
      <c r="R133" s="277"/>
      <c r="S133" s="277"/>
      <c r="T133" s="277"/>
      <c r="U133" s="278"/>
      <c r="V133" s="278"/>
      <c r="W133" s="279"/>
      <c r="X133" s="643">
        <f>IF(K133=0,0,VLOOKUP(K133,CBGV!$B$4:$P$70,14,0))+IF(L133=0,0,VLOOKUP(L133,'T-L-K'!$B$7:$BH$36,2,0))</f>
        <v>8</v>
      </c>
      <c r="Y133" s="646">
        <f>SUM(A133:J135)</f>
        <v>11</v>
      </c>
      <c r="Z133" s="646">
        <f>SUM(A133:J135)+X133</f>
        <v>19</v>
      </c>
      <c r="AA133" s="643">
        <f>IF((Z133-(VLOOKUP(K133,CBGV!$B$4:$P$70,13,0)))&lt;=-14,"/",(Z133-(VLOOKUP(K133,CBGV!$B$4:$P$70,13,0))))</f>
        <v>2</v>
      </c>
      <c r="AB133" s="88" t="s">
        <v>89</v>
      </c>
    </row>
    <row r="134" spans="1:28" ht="11.25" customHeight="1" x14ac:dyDescent="0.25">
      <c r="A134" s="111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1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1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1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1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1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1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1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11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11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634"/>
      <c r="L134" s="637"/>
      <c r="M134" s="51" t="s">
        <v>310</v>
      </c>
      <c r="N134" s="280" t="s">
        <v>20</v>
      </c>
      <c r="O134" s="281" t="s">
        <v>140</v>
      </c>
      <c r="P134" s="281" t="s">
        <v>215</v>
      </c>
      <c r="Q134" s="281" t="s">
        <v>473</v>
      </c>
      <c r="R134" s="282" t="s">
        <v>203</v>
      </c>
      <c r="S134" s="282" t="s">
        <v>204</v>
      </c>
      <c r="T134" s="282" t="s">
        <v>304</v>
      </c>
      <c r="U134" s="283"/>
      <c r="V134" s="283"/>
      <c r="W134" s="284"/>
      <c r="X134" s="644"/>
      <c r="Y134" s="644"/>
      <c r="Z134" s="644"/>
      <c r="AA134" s="644"/>
      <c r="AB134" s="88" t="s">
        <v>89</v>
      </c>
    </row>
    <row r="135" spans="1:28" ht="11.25" customHeight="1" x14ac:dyDescent="0.25">
      <c r="A135" s="111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11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1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1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1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1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1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1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1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1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635"/>
      <c r="L135" s="638"/>
      <c r="M135" s="52" t="s">
        <v>308</v>
      </c>
      <c r="N135" s="285" t="s">
        <v>215</v>
      </c>
      <c r="O135" s="286"/>
      <c r="P135" s="286"/>
      <c r="Q135" s="286"/>
      <c r="R135" s="287"/>
      <c r="S135" s="287"/>
      <c r="T135" s="287"/>
      <c r="U135" s="288"/>
      <c r="V135" s="288"/>
      <c r="W135" s="289"/>
      <c r="X135" s="645"/>
      <c r="Y135" s="645"/>
      <c r="Z135" s="645"/>
      <c r="AA135" s="645"/>
      <c r="AB135" s="88" t="s">
        <v>89</v>
      </c>
    </row>
    <row r="136" spans="1:28" ht="11.25" customHeight="1" x14ac:dyDescent="0.25">
      <c r="A136" s="111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11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C136" s="111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D136" s="111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1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11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11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11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11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11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640" t="s">
        <v>91</v>
      </c>
      <c r="L136" s="636" t="str">
        <f>IF(K136=0,0,VLOOKUP(K136,CBGV!$B$4:$M$70,12,0))</f>
        <v>12A6</v>
      </c>
      <c r="M136" s="54" t="s">
        <v>32</v>
      </c>
      <c r="N136" s="275" t="s">
        <v>213</v>
      </c>
      <c r="O136" s="276" t="s">
        <v>214</v>
      </c>
      <c r="P136" s="276" t="s">
        <v>31</v>
      </c>
      <c r="Q136" s="276"/>
      <c r="R136" s="277"/>
      <c r="S136" s="277"/>
      <c r="T136" s="277"/>
      <c r="U136" s="278"/>
      <c r="V136" s="278"/>
      <c r="W136" s="279"/>
      <c r="X136" s="636">
        <f>IF(K136=0,0,VLOOKUP(K136,CBGV!$B$4:$P$70,14,0))+IF(L136=0,0,VLOOKUP(L136,'T-L-K'!$B$7:$BH$36,2,0))</f>
        <v>5</v>
      </c>
      <c r="Y136" s="639">
        <f>SUM(A136:J138)</f>
        <v>17</v>
      </c>
      <c r="Z136" s="639">
        <f>SUM(A136:J138)+X136</f>
        <v>22</v>
      </c>
      <c r="AA136" s="636">
        <f>IF((Z136-(VLOOKUP(K136,CBGV!$B$4:$P$70,13,0)))&lt;=-14,"/",(Z136-(VLOOKUP(K136,CBGV!$B$4:$P$70,13,0))))</f>
        <v>5</v>
      </c>
      <c r="AB136" s="88" t="s">
        <v>89</v>
      </c>
    </row>
    <row r="137" spans="1:28" ht="11.25" customHeight="1" x14ac:dyDescent="0.25">
      <c r="A137" s="111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1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1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1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1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1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1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1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1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1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641"/>
      <c r="L137" s="637"/>
      <c r="M137" s="55" t="s">
        <v>310</v>
      </c>
      <c r="N137" s="280" t="s">
        <v>173</v>
      </c>
      <c r="O137" s="281" t="s">
        <v>213</v>
      </c>
      <c r="P137" s="281" t="s">
        <v>214</v>
      </c>
      <c r="Q137" s="281" t="s">
        <v>31</v>
      </c>
      <c r="R137" s="282" t="s">
        <v>196</v>
      </c>
      <c r="S137" s="282" t="s">
        <v>197</v>
      </c>
      <c r="T137" s="282" t="s">
        <v>198</v>
      </c>
      <c r="U137" s="283"/>
      <c r="V137" s="283"/>
      <c r="W137" s="284"/>
      <c r="X137" s="637"/>
      <c r="Y137" s="637"/>
      <c r="Z137" s="637"/>
      <c r="AA137" s="637"/>
      <c r="AB137" s="88" t="s">
        <v>89</v>
      </c>
    </row>
    <row r="138" spans="1:28" ht="11.25" customHeight="1" x14ac:dyDescent="0.25">
      <c r="A138" s="111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1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1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1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1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1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1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1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1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1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642"/>
      <c r="L138" s="638"/>
      <c r="M138" s="56" t="s">
        <v>308</v>
      </c>
      <c r="N138" s="285" t="s">
        <v>213</v>
      </c>
      <c r="O138" s="286"/>
      <c r="P138" s="286"/>
      <c r="Q138" s="286"/>
      <c r="R138" s="287"/>
      <c r="S138" s="287"/>
      <c r="T138" s="287"/>
      <c r="U138" s="288"/>
      <c r="V138" s="288"/>
      <c r="W138" s="289"/>
      <c r="X138" s="638"/>
      <c r="Y138" s="638"/>
      <c r="Z138" s="638"/>
      <c r="AA138" s="638"/>
      <c r="AB138" s="88" t="s">
        <v>89</v>
      </c>
    </row>
    <row r="139" spans="1:28" ht="11.25" customHeight="1" x14ac:dyDescent="0.25">
      <c r="A139" s="111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B139" s="111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C139" s="111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11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E139" s="111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F139" s="111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1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1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11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11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633" t="s">
        <v>92</v>
      </c>
      <c r="L139" s="636">
        <f>IF(K139=0,0,VLOOKUP(K139,CBGV!$B$4:$M$70,12,0))</f>
        <v>0</v>
      </c>
      <c r="M139" s="57" t="s">
        <v>32</v>
      </c>
      <c r="N139" s="275" t="s">
        <v>21</v>
      </c>
      <c r="O139" s="276" t="s">
        <v>148</v>
      </c>
      <c r="P139" s="276" t="s">
        <v>121</v>
      </c>
      <c r="Q139" s="276" t="s">
        <v>18</v>
      </c>
      <c r="R139" s="277" t="s">
        <v>124</v>
      </c>
      <c r="S139" s="277"/>
      <c r="T139" s="277"/>
      <c r="U139" s="278"/>
      <c r="V139" s="278"/>
      <c r="W139" s="279"/>
      <c r="X139" s="643">
        <f>IF(K139=0,0,VLOOKUP(K139,CBGV!$B$4:$P$70,14,0))+IF(L139=0,0,VLOOKUP(L139,'T-L-K'!$B$7:$BH$36,2,0))</f>
        <v>0</v>
      </c>
      <c r="Y139" s="646">
        <f>SUM(A139:J141)</f>
        <v>22</v>
      </c>
      <c r="Z139" s="646">
        <f>SUM(A139:J141)+X139</f>
        <v>22</v>
      </c>
      <c r="AA139" s="643">
        <f>IF((Z139-(VLOOKUP(K139,CBGV!$B$4:$P$70,13,0)))&lt;=-14,"/",(Z139-(VLOOKUP(K139,CBGV!$B$4:$P$70,13,0))))</f>
        <v>5</v>
      </c>
      <c r="AB139" s="88" t="s">
        <v>89</v>
      </c>
    </row>
    <row r="140" spans="1:28" ht="11.25" customHeight="1" x14ac:dyDescent="0.25">
      <c r="A140" s="111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1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1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1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1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1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1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1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1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1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634"/>
      <c r="L140" s="637"/>
      <c r="M140" s="51" t="s">
        <v>310</v>
      </c>
      <c r="N140" s="280" t="s">
        <v>21</v>
      </c>
      <c r="O140" s="281" t="s">
        <v>148</v>
      </c>
      <c r="P140" s="281" t="s">
        <v>121</v>
      </c>
      <c r="Q140" s="281" t="s">
        <v>116</v>
      </c>
      <c r="R140" s="282" t="s">
        <v>18</v>
      </c>
      <c r="S140" s="282" t="s">
        <v>124</v>
      </c>
      <c r="T140" s="282" t="s">
        <v>202</v>
      </c>
      <c r="U140" s="283"/>
      <c r="V140" s="283"/>
      <c r="W140" s="284"/>
      <c r="X140" s="644"/>
      <c r="Y140" s="644"/>
      <c r="Z140" s="644"/>
      <c r="AA140" s="644"/>
      <c r="AB140" s="88" t="s">
        <v>89</v>
      </c>
    </row>
    <row r="141" spans="1:28" ht="11.25" customHeight="1" x14ac:dyDescent="0.25">
      <c r="A141" s="111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B141" s="111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1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1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1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1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1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1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1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1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635"/>
      <c r="L141" s="638"/>
      <c r="M141" s="52" t="s">
        <v>308</v>
      </c>
      <c r="N141" s="285"/>
      <c r="O141" s="286"/>
      <c r="P141" s="286"/>
      <c r="Q141" s="286"/>
      <c r="R141" s="287"/>
      <c r="S141" s="287"/>
      <c r="T141" s="287"/>
      <c r="U141" s="288"/>
      <c r="V141" s="288"/>
      <c r="W141" s="289"/>
      <c r="X141" s="645"/>
      <c r="Y141" s="645"/>
      <c r="Z141" s="645"/>
      <c r="AA141" s="645"/>
      <c r="AB141" s="88" t="s">
        <v>89</v>
      </c>
    </row>
    <row r="142" spans="1:28" ht="11.25" customHeight="1" x14ac:dyDescent="0.25">
      <c r="A142" s="111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1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1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1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11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11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1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1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1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1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640" t="s">
        <v>220</v>
      </c>
      <c r="L142" s="636" t="str">
        <f>IF(K142=0,0,VLOOKUP(K142,CBGV!$B$4:$M$70,12,0))</f>
        <v>11A2</v>
      </c>
      <c r="M142" s="54" t="s">
        <v>32</v>
      </c>
      <c r="N142" s="275" t="s">
        <v>219</v>
      </c>
      <c r="O142" s="276" t="s">
        <v>24</v>
      </c>
      <c r="P142" s="276" t="s">
        <v>142</v>
      </c>
      <c r="Q142" s="276"/>
      <c r="R142" s="277"/>
      <c r="S142" s="277"/>
      <c r="T142" s="277"/>
      <c r="U142" s="278"/>
      <c r="V142" s="278"/>
      <c r="W142" s="279"/>
      <c r="X142" s="636">
        <f>IF(K142=0,0,VLOOKUP(K142,CBGV!$B$4:$P$70,14,0))+IF(L142=0,0,VLOOKUP(L142,'T-L-K'!$B$7:$BH$36,2,0))</f>
        <v>5</v>
      </c>
      <c r="Y142" s="639">
        <f>SUM(A142:J144)</f>
        <v>17</v>
      </c>
      <c r="Z142" s="639">
        <f>SUM(A142:J144)+X142</f>
        <v>22</v>
      </c>
      <c r="AA142" s="636">
        <f>IF((Z142-(VLOOKUP(K142,CBGV!$B$4:$P$70,13,0)))&lt;=-14,"/",(Z142-(VLOOKUP(K142,CBGV!$B$4:$P$70,13,0))))</f>
        <v>5</v>
      </c>
      <c r="AB142" s="88" t="s">
        <v>89</v>
      </c>
    </row>
    <row r="143" spans="1:28" ht="11.25" customHeight="1" x14ac:dyDescent="0.25">
      <c r="A143" s="111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B143" s="111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C143" s="111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D143" s="111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E143" s="111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F143" s="111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G143" s="111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H143" s="111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1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1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641"/>
      <c r="L143" s="637"/>
      <c r="M143" s="55" t="s">
        <v>310</v>
      </c>
      <c r="N143" s="280" t="s">
        <v>27</v>
      </c>
      <c r="O143" s="281" t="s">
        <v>30</v>
      </c>
      <c r="P143" s="281" t="s">
        <v>219</v>
      </c>
      <c r="Q143" s="281" t="s">
        <v>24</v>
      </c>
      <c r="R143" s="282" t="s">
        <v>142</v>
      </c>
      <c r="S143" s="282" t="s">
        <v>138</v>
      </c>
      <c r="T143" s="282" t="s">
        <v>201</v>
      </c>
      <c r="U143" s="283"/>
      <c r="V143" s="283"/>
      <c r="W143" s="284"/>
      <c r="X143" s="637"/>
      <c r="Y143" s="637"/>
      <c r="Z143" s="637"/>
      <c r="AA143" s="637"/>
      <c r="AB143" s="88" t="s">
        <v>89</v>
      </c>
    </row>
    <row r="144" spans="1:28" ht="11.25" customHeight="1" x14ac:dyDescent="0.25">
      <c r="A144" s="111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1</v>
      </c>
      <c r="B144" s="111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1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1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1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1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1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1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1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1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642"/>
      <c r="L144" s="638"/>
      <c r="M144" s="56" t="s">
        <v>308</v>
      </c>
      <c r="N144" s="285" t="s">
        <v>24</v>
      </c>
      <c r="O144" s="286"/>
      <c r="P144" s="286"/>
      <c r="Q144" s="286"/>
      <c r="R144" s="287"/>
      <c r="S144" s="287"/>
      <c r="T144" s="287"/>
      <c r="U144" s="288"/>
      <c r="V144" s="288"/>
      <c r="W144" s="289"/>
      <c r="X144" s="638"/>
      <c r="Y144" s="638"/>
      <c r="Z144" s="638"/>
      <c r="AA144" s="638"/>
      <c r="AB144" s="88" t="s">
        <v>89</v>
      </c>
    </row>
    <row r="145" spans="1:28" ht="11.25" customHeight="1" x14ac:dyDescent="0.25">
      <c r="A145" s="111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1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1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D145" s="111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E145" s="111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F145" s="111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1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1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1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1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633" t="s">
        <v>93</v>
      </c>
      <c r="L145" s="636">
        <f>IF(K145=0,0,VLOOKUP(K145,CBGV!$B$4:$M$70,12,0))</f>
        <v>0</v>
      </c>
      <c r="M145" s="57" t="s">
        <v>182</v>
      </c>
      <c r="N145" s="275" t="s">
        <v>20</v>
      </c>
      <c r="O145" s="276" t="s">
        <v>213</v>
      </c>
      <c r="P145" s="276" t="s">
        <v>214</v>
      </c>
      <c r="Q145" s="276" t="s">
        <v>18</v>
      </c>
      <c r="R145" s="277" t="s">
        <v>24</v>
      </c>
      <c r="S145" s="277"/>
      <c r="T145" s="277"/>
      <c r="U145" s="278"/>
      <c r="V145" s="278"/>
      <c r="W145" s="279"/>
      <c r="X145" s="643">
        <f>IF(K145=0,0,VLOOKUP(K145,CBGV!$B$4:$P$70,14,0))+IF(L145=0,0,VLOOKUP(L145,'T-L-K'!$B$7:$BH$36,2,0))</f>
        <v>3</v>
      </c>
      <c r="Y145" s="646">
        <f>SUM(A145:J147)</f>
        <v>15</v>
      </c>
      <c r="Z145" s="646">
        <f>SUM(A145:J147)+X145</f>
        <v>18</v>
      </c>
      <c r="AA145" s="643">
        <f>IF((Z145-(VLOOKUP(K145,CBGV!$B$4:$P$70,13,0)))&lt;=-14,"/",(Z145-(VLOOKUP(K145,CBGV!$B$4:$P$70,13,0))))</f>
        <v>1</v>
      </c>
      <c r="AB145" s="88" t="s">
        <v>364</v>
      </c>
    </row>
    <row r="146" spans="1:28" ht="11.25" customHeight="1" x14ac:dyDescent="0.25">
      <c r="A146" s="111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B146" s="111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C146" s="111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11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11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11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11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11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1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1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634"/>
      <c r="L146" s="637"/>
      <c r="M146" s="51" t="s">
        <v>182</v>
      </c>
      <c r="N146" s="280"/>
      <c r="O146" s="281"/>
      <c r="P146" s="281"/>
      <c r="Q146" s="281"/>
      <c r="R146" s="282"/>
      <c r="S146" s="282"/>
      <c r="T146" s="282"/>
      <c r="U146" s="283"/>
      <c r="V146" s="283"/>
      <c r="W146" s="284"/>
      <c r="X146" s="644"/>
      <c r="Y146" s="644"/>
      <c r="Z146" s="644"/>
      <c r="AA146" s="644"/>
      <c r="AB146" s="88" t="s">
        <v>364</v>
      </c>
    </row>
    <row r="147" spans="1:28" ht="11.25" customHeight="1" x14ac:dyDescent="0.25">
      <c r="A147" s="111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11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1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1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1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1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1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1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1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1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635"/>
      <c r="L147" s="638"/>
      <c r="M147" s="52" t="s">
        <v>308</v>
      </c>
      <c r="N147" s="285"/>
      <c r="O147" s="286"/>
      <c r="P147" s="286"/>
      <c r="Q147" s="286"/>
      <c r="R147" s="287"/>
      <c r="S147" s="287"/>
      <c r="T147" s="287"/>
      <c r="U147" s="288"/>
      <c r="V147" s="288"/>
      <c r="W147" s="289"/>
      <c r="X147" s="645"/>
      <c r="Y147" s="645"/>
      <c r="Z147" s="645"/>
      <c r="AA147" s="645"/>
      <c r="AB147" s="88" t="s">
        <v>364</v>
      </c>
    </row>
    <row r="148" spans="1:28" ht="11.25" customHeight="1" x14ac:dyDescent="0.25">
      <c r="A148" s="111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1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1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1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1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F148" s="111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1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1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1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1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640" t="s">
        <v>190</v>
      </c>
      <c r="L148" s="636" t="str">
        <f>IF(K148=0,0,VLOOKUP(K148,CBGV!$B$4:$M$70,12,0))</f>
        <v>11A6</v>
      </c>
      <c r="M148" s="54" t="s">
        <v>182</v>
      </c>
      <c r="N148" s="275" t="s">
        <v>201</v>
      </c>
      <c r="O148" s="276" t="s">
        <v>204</v>
      </c>
      <c r="P148" s="276" t="s">
        <v>27</v>
      </c>
      <c r="Q148" s="276" t="s">
        <v>473</v>
      </c>
      <c r="R148" s="277"/>
      <c r="S148" s="277"/>
      <c r="T148" s="277"/>
      <c r="U148" s="278"/>
      <c r="V148" s="278"/>
      <c r="W148" s="279"/>
      <c r="X148" s="636">
        <f>IF(K148=0,0,VLOOKUP(K148,CBGV!$B$4:$P$70,14,0))+IF(L148=0,0,VLOOKUP(L148,'T-L-K'!$B$7:$BH$36,2,0))</f>
        <v>5</v>
      </c>
      <c r="Y148" s="639">
        <f>SUM(A148:J150)</f>
        <v>12</v>
      </c>
      <c r="Z148" s="639">
        <f>SUM(A148:J150)+X148</f>
        <v>17</v>
      </c>
      <c r="AA148" s="636">
        <f>IF((Z148-(VLOOKUP(K148,CBGV!$B$4:$P$70,13,0)))&lt;=-14,"/",(Z148-(VLOOKUP(K148,CBGV!$B$4:$P$70,13,0))))</f>
        <v>0</v>
      </c>
      <c r="AB148" s="88" t="s">
        <v>364</v>
      </c>
    </row>
    <row r="149" spans="1:28" ht="11.25" customHeight="1" x14ac:dyDescent="0.25">
      <c r="A149" s="111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1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1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1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1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1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1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1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1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1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641"/>
      <c r="L149" s="637"/>
      <c r="M149" s="55" t="s">
        <v>182</v>
      </c>
      <c r="N149" s="280"/>
      <c r="O149" s="281"/>
      <c r="P149" s="281"/>
      <c r="Q149" s="281"/>
      <c r="R149" s="282"/>
      <c r="S149" s="282"/>
      <c r="T149" s="282"/>
      <c r="U149" s="283"/>
      <c r="V149" s="283"/>
      <c r="W149" s="284"/>
      <c r="X149" s="637"/>
      <c r="Y149" s="637"/>
      <c r="Z149" s="637"/>
      <c r="AA149" s="637"/>
      <c r="AB149" s="88" t="s">
        <v>364</v>
      </c>
    </row>
    <row r="150" spans="1:28" ht="11.25" customHeight="1" x14ac:dyDescent="0.25">
      <c r="A150" s="111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1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1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1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1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1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1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1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1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1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642"/>
      <c r="L150" s="638"/>
      <c r="M150" s="56" t="s">
        <v>308</v>
      </c>
      <c r="N150" s="285"/>
      <c r="O150" s="286"/>
      <c r="P150" s="286"/>
      <c r="Q150" s="286"/>
      <c r="R150" s="287"/>
      <c r="S150" s="287"/>
      <c r="T150" s="287"/>
      <c r="U150" s="288"/>
      <c r="V150" s="288"/>
      <c r="W150" s="289"/>
      <c r="X150" s="638"/>
      <c r="Y150" s="638"/>
      <c r="Z150" s="638"/>
      <c r="AA150" s="638"/>
      <c r="AB150" s="88" t="s">
        <v>364</v>
      </c>
    </row>
    <row r="151" spans="1:28" ht="11.25" customHeight="1" x14ac:dyDescent="0.25">
      <c r="A151" s="111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1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11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D151" s="111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E151" s="111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F151" s="111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1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1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1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1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633" t="s">
        <v>94</v>
      </c>
      <c r="L151" s="636">
        <f>IF(K151=0,0,VLOOKUP(K151,CBGV!$B$4:$M$70,12,0))</f>
        <v>0</v>
      </c>
      <c r="M151" s="57" t="s">
        <v>182</v>
      </c>
      <c r="N151" s="275" t="s">
        <v>148</v>
      </c>
      <c r="O151" s="276" t="s">
        <v>121</v>
      </c>
      <c r="P151" s="276" t="s">
        <v>116</v>
      </c>
      <c r="Q151" s="276" t="s">
        <v>203</v>
      </c>
      <c r="R151" s="277" t="s">
        <v>138</v>
      </c>
      <c r="S151" s="277"/>
      <c r="T151" s="277"/>
      <c r="U151" s="278"/>
      <c r="V151" s="278"/>
      <c r="W151" s="279"/>
      <c r="X151" s="643">
        <f>IF(K151=0,0,VLOOKUP(K151,CBGV!$B$4:$P$70,14,0))+IF(L151=0,0,VLOOKUP(L151,'T-L-K'!$B$7:$BH$36,2,0))</f>
        <v>0</v>
      </c>
      <c r="Y151" s="646">
        <f>SUM(A151:J153)</f>
        <v>15</v>
      </c>
      <c r="Z151" s="646">
        <f>SUM(A151:J153)+X151</f>
        <v>15</v>
      </c>
      <c r="AA151" s="643">
        <f>IF((Z151-(VLOOKUP(K151,CBGV!$B$4:$P$70,13,0)))&lt;=-14,"/",(Z151-(VLOOKUP(K151,CBGV!$B$4:$P$70,13,0))))</f>
        <v>-2</v>
      </c>
      <c r="AB151" s="88" t="s">
        <v>364</v>
      </c>
    </row>
    <row r="152" spans="1:28" ht="11.25" customHeight="1" x14ac:dyDescent="0.25">
      <c r="A152" s="111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11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11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11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1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1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1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1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1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1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634"/>
      <c r="L152" s="637"/>
      <c r="M152" s="51" t="s">
        <v>182</v>
      </c>
      <c r="N152" s="280"/>
      <c r="O152" s="281"/>
      <c r="P152" s="281"/>
      <c r="Q152" s="281"/>
      <c r="R152" s="282"/>
      <c r="S152" s="282"/>
      <c r="T152" s="282"/>
      <c r="U152" s="283"/>
      <c r="V152" s="283"/>
      <c r="W152" s="284"/>
      <c r="X152" s="644"/>
      <c r="Y152" s="644"/>
      <c r="Z152" s="644"/>
      <c r="AA152" s="644"/>
      <c r="AB152" s="88" t="s">
        <v>364</v>
      </c>
    </row>
    <row r="153" spans="1:28" ht="11.25" customHeight="1" x14ac:dyDescent="0.25">
      <c r="A153" s="111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1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1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1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1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1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1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1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1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1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635"/>
      <c r="L153" s="638"/>
      <c r="M153" s="52" t="s">
        <v>308</v>
      </c>
      <c r="N153" s="285"/>
      <c r="O153" s="286"/>
      <c r="P153" s="286"/>
      <c r="Q153" s="286"/>
      <c r="R153" s="287"/>
      <c r="S153" s="287"/>
      <c r="T153" s="287"/>
      <c r="U153" s="288"/>
      <c r="V153" s="288"/>
      <c r="W153" s="289"/>
      <c r="X153" s="645"/>
      <c r="Y153" s="645"/>
      <c r="Z153" s="645"/>
      <c r="AA153" s="645"/>
      <c r="AB153" s="88" t="s">
        <v>364</v>
      </c>
    </row>
    <row r="154" spans="1:28" ht="11.25" customHeight="1" x14ac:dyDescent="0.25">
      <c r="A154" s="111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1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1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1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1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11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1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1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1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1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640" t="s">
        <v>95</v>
      </c>
      <c r="L154" s="636" t="str">
        <f>IF(K154=0,0,VLOOKUP(K154,CBGV!$B$4:$M$70,12,0))</f>
        <v>10A2</v>
      </c>
      <c r="M154" s="54" t="s">
        <v>182</v>
      </c>
      <c r="N154" s="275" t="s">
        <v>31</v>
      </c>
      <c r="O154" s="276" t="s">
        <v>21</v>
      </c>
      <c r="P154" s="276" t="s">
        <v>142</v>
      </c>
      <c r="Q154" s="276" t="s">
        <v>124</v>
      </c>
      <c r="R154" s="277"/>
      <c r="S154" s="277"/>
      <c r="T154" s="277"/>
      <c r="U154" s="278"/>
      <c r="V154" s="278"/>
      <c r="W154" s="279"/>
      <c r="X154" s="636">
        <f>IF(K154=0,0,VLOOKUP(K154,CBGV!$B$4:$P$70,14,0))+IF(L154=0,0,VLOOKUP(L154,'T-L-K'!$B$7:$BH$36,2,0))</f>
        <v>5</v>
      </c>
      <c r="Y154" s="639">
        <f>SUM(A154:J156)</f>
        <v>12</v>
      </c>
      <c r="Z154" s="639">
        <f>SUM(A154:J156)+X154</f>
        <v>17</v>
      </c>
      <c r="AA154" s="636">
        <f>IF((Z154-(VLOOKUP(K154,CBGV!$B$4:$P$70,13,0)))&lt;=-14,"/",(Z154-(VLOOKUP(K154,CBGV!$B$4:$P$70,13,0))))</f>
        <v>0</v>
      </c>
      <c r="AB154" s="88" t="s">
        <v>364</v>
      </c>
    </row>
    <row r="155" spans="1:28" ht="11.25" customHeight="1" x14ac:dyDescent="0.25">
      <c r="A155" s="111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11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11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1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1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1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1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1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1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1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641"/>
      <c r="L155" s="637"/>
      <c r="M155" s="55" t="s">
        <v>182</v>
      </c>
      <c r="N155" s="280"/>
      <c r="O155" s="281"/>
      <c r="P155" s="281"/>
      <c r="Q155" s="281"/>
      <c r="R155" s="282"/>
      <c r="S155" s="282"/>
      <c r="T155" s="282"/>
      <c r="U155" s="283"/>
      <c r="V155" s="283"/>
      <c r="W155" s="284"/>
      <c r="X155" s="637"/>
      <c r="Y155" s="637"/>
      <c r="Z155" s="637"/>
      <c r="AA155" s="637"/>
      <c r="AB155" s="88" t="s">
        <v>364</v>
      </c>
    </row>
    <row r="156" spans="1:28" ht="11.25" customHeight="1" x14ac:dyDescent="0.25">
      <c r="A156" s="111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1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1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1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1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1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1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1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1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1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642"/>
      <c r="L156" s="638"/>
      <c r="M156" s="56" t="s">
        <v>308</v>
      </c>
      <c r="N156" s="285"/>
      <c r="O156" s="286"/>
      <c r="P156" s="286"/>
      <c r="Q156" s="286"/>
      <c r="R156" s="287"/>
      <c r="S156" s="287"/>
      <c r="T156" s="287"/>
      <c r="U156" s="288"/>
      <c r="V156" s="288"/>
      <c r="W156" s="289"/>
      <c r="X156" s="638"/>
      <c r="Y156" s="638"/>
      <c r="Z156" s="638"/>
      <c r="AA156" s="638"/>
      <c r="AB156" s="88" t="s">
        <v>364</v>
      </c>
    </row>
    <row r="157" spans="1:28" ht="11.25" customHeight="1" x14ac:dyDescent="0.25">
      <c r="A157" s="111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1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1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D157" s="111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E157" s="111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F157" s="111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G157" s="111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1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1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1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633" t="s">
        <v>96</v>
      </c>
      <c r="L157" s="636">
        <f>IF(K157=0,0,VLOOKUP(K157,CBGV!$B$4:$M$70,12,0))</f>
        <v>0</v>
      </c>
      <c r="M157" s="57" t="s">
        <v>182</v>
      </c>
      <c r="N157" s="275" t="s">
        <v>140</v>
      </c>
      <c r="O157" s="276" t="s">
        <v>173</v>
      </c>
      <c r="P157" s="276" t="s">
        <v>219</v>
      </c>
      <c r="Q157" s="276" t="s">
        <v>196</v>
      </c>
      <c r="R157" s="277" t="s">
        <v>197</v>
      </c>
      <c r="S157" s="277" t="s">
        <v>198</v>
      </c>
      <c r="T157" s="277"/>
      <c r="U157" s="278"/>
      <c r="V157" s="278"/>
      <c r="W157" s="279"/>
      <c r="X157" s="643">
        <f>IF(K157=0,0,VLOOKUP(K157,CBGV!$B$4:$P$70,14,0))+IF(L157=0,0,VLOOKUP(L157,'T-L-K'!$B$7:$BH$36,2,0))</f>
        <v>0</v>
      </c>
      <c r="Y157" s="646">
        <f>SUM(A157:J159)</f>
        <v>18</v>
      </c>
      <c r="Z157" s="646">
        <f>SUM(A157:J159)+X157</f>
        <v>18</v>
      </c>
      <c r="AA157" s="643">
        <f>IF((Z157-(VLOOKUP(K157,CBGV!$B$4:$P$70,13,0)))&lt;=-14,"/",(Z157-(VLOOKUP(K157,CBGV!$B$4:$P$70,13,0))))</f>
        <v>1</v>
      </c>
      <c r="AB157" s="88" t="s">
        <v>364</v>
      </c>
    </row>
    <row r="158" spans="1:28" ht="11.25" customHeight="1" x14ac:dyDescent="0.25">
      <c r="A158" s="111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11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11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1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1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1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1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1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1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1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634"/>
      <c r="L158" s="637"/>
      <c r="M158" s="51" t="s">
        <v>182</v>
      </c>
      <c r="N158" s="280"/>
      <c r="O158" s="281"/>
      <c r="P158" s="281"/>
      <c r="Q158" s="281"/>
      <c r="R158" s="282"/>
      <c r="S158" s="282"/>
      <c r="T158" s="282"/>
      <c r="U158" s="283"/>
      <c r="V158" s="283"/>
      <c r="W158" s="284"/>
      <c r="X158" s="644"/>
      <c r="Y158" s="644"/>
      <c r="Z158" s="644"/>
      <c r="AA158" s="644"/>
      <c r="AB158" s="88" t="s">
        <v>364</v>
      </c>
    </row>
    <row r="159" spans="1:28" ht="11.25" customHeight="1" x14ac:dyDescent="0.25">
      <c r="A159" s="111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1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1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1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1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1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1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1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1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1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635"/>
      <c r="L159" s="638"/>
      <c r="M159" s="52" t="s">
        <v>308</v>
      </c>
      <c r="N159" s="285"/>
      <c r="O159" s="286"/>
      <c r="P159" s="286"/>
      <c r="Q159" s="286"/>
      <c r="R159" s="287"/>
      <c r="S159" s="287"/>
      <c r="T159" s="287"/>
      <c r="U159" s="288"/>
      <c r="V159" s="288"/>
      <c r="W159" s="289"/>
      <c r="X159" s="645"/>
      <c r="Y159" s="645"/>
      <c r="Z159" s="645"/>
      <c r="AA159" s="645"/>
      <c r="AB159" s="88" t="s">
        <v>364</v>
      </c>
    </row>
    <row r="160" spans="1:28" ht="11.25" customHeight="1" x14ac:dyDescent="0.25">
      <c r="A160" s="111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11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11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D160" s="111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E160" s="111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11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11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1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1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1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640" t="s">
        <v>97</v>
      </c>
      <c r="L160" s="636" t="str">
        <f>IF(K160=0,0,VLOOKUP(K160,CBGV!$B$4:$M$70,12,0))</f>
        <v>11A10</v>
      </c>
      <c r="M160" s="54" t="s">
        <v>182</v>
      </c>
      <c r="N160" s="275" t="s">
        <v>304</v>
      </c>
      <c r="O160" s="276" t="s">
        <v>202</v>
      </c>
      <c r="P160" s="276" t="s">
        <v>30</v>
      </c>
      <c r="Q160" s="276" t="s">
        <v>215</v>
      </c>
      <c r="R160" s="277"/>
      <c r="S160" s="277"/>
      <c r="T160" s="277"/>
      <c r="U160" s="278"/>
      <c r="V160" s="278"/>
      <c r="W160" s="279"/>
      <c r="X160" s="636">
        <f>IF(K160=0,0,VLOOKUP(K160,CBGV!$B$4:$P$70,14,0))+IF(L160=0,0,VLOOKUP(L160,'T-L-K'!$B$7:$BH$36,2,0))</f>
        <v>5</v>
      </c>
      <c r="Y160" s="639">
        <f>SUM(A160:J162)</f>
        <v>12</v>
      </c>
      <c r="Z160" s="639">
        <f>SUM(A160:J162)+X160</f>
        <v>17</v>
      </c>
      <c r="AA160" s="636">
        <f>IF((Z160-(VLOOKUP(K160,CBGV!$B$4:$P$70,13,0)))&lt;=-14,"/",(Z160-(VLOOKUP(K160,CBGV!$B$4:$P$70,13,0))))</f>
        <v>0</v>
      </c>
      <c r="AB160" s="88" t="s">
        <v>364</v>
      </c>
    </row>
    <row r="161" spans="1:28" ht="11.25" customHeight="1" x14ac:dyDescent="0.25">
      <c r="A161" s="111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11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11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11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1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1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1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1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1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1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641"/>
      <c r="L161" s="637"/>
      <c r="M161" s="55" t="s">
        <v>182</v>
      </c>
      <c r="N161" s="280"/>
      <c r="O161" s="281"/>
      <c r="P161" s="281"/>
      <c r="Q161" s="281"/>
      <c r="R161" s="282"/>
      <c r="S161" s="282"/>
      <c r="T161" s="282"/>
      <c r="U161" s="283"/>
      <c r="V161" s="283"/>
      <c r="W161" s="284"/>
      <c r="X161" s="637"/>
      <c r="Y161" s="637"/>
      <c r="Z161" s="637"/>
      <c r="AA161" s="637"/>
      <c r="AB161" s="88" t="s">
        <v>364</v>
      </c>
    </row>
    <row r="162" spans="1:28" ht="11.25" customHeight="1" x14ac:dyDescent="0.25">
      <c r="A162" s="111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11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11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11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11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11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11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11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11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1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642"/>
      <c r="L162" s="638"/>
      <c r="M162" s="56" t="s">
        <v>308</v>
      </c>
      <c r="N162" s="285"/>
      <c r="O162" s="286"/>
      <c r="P162" s="286"/>
      <c r="Q162" s="286"/>
      <c r="R162" s="287"/>
      <c r="S162" s="287"/>
      <c r="T162" s="287"/>
      <c r="U162" s="288"/>
      <c r="V162" s="288"/>
      <c r="W162" s="289"/>
      <c r="X162" s="638"/>
      <c r="Y162" s="638"/>
      <c r="Z162" s="638"/>
      <c r="AA162" s="638"/>
      <c r="AB162" s="88" t="s">
        <v>364</v>
      </c>
    </row>
    <row r="163" spans="1:28" ht="11.25" customHeight="1" x14ac:dyDescent="0.25">
      <c r="A163" s="111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B163" s="111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C163" s="111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D163" s="111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E163" s="111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F163" s="111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G163" s="111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H163" s="111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I163" s="111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1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633" t="s">
        <v>100</v>
      </c>
      <c r="L163" s="636">
        <f>IF(K163=0,0,VLOOKUP(K163,CBGV!$B$4:$M$70,12,0))</f>
        <v>0</v>
      </c>
      <c r="M163" s="57" t="s">
        <v>36</v>
      </c>
      <c r="N163" s="275" t="s">
        <v>20</v>
      </c>
      <c r="O163" s="276" t="s">
        <v>140</v>
      </c>
      <c r="P163" s="276" t="s">
        <v>173</v>
      </c>
      <c r="Q163" s="276" t="s">
        <v>458</v>
      </c>
      <c r="R163" s="277" t="s">
        <v>214</v>
      </c>
      <c r="S163" s="277" t="s">
        <v>215</v>
      </c>
      <c r="T163" s="277" t="s">
        <v>507</v>
      </c>
      <c r="U163" s="278" t="s">
        <v>508</v>
      </c>
      <c r="V163" s="278"/>
      <c r="W163" s="279"/>
      <c r="X163" s="643">
        <f>IF(K163=0,0,VLOOKUP(K163,CBGV!$B$4:$P$70,14,0))+IF(L163=0,0,VLOOKUP(L163,'T-L-K'!$B$7:$BH$36,2,0))</f>
        <v>8.5</v>
      </c>
      <c r="Y163" s="646">
        <f>SUM(A163:J165)</f>
        <v>8</v>
      </c>
      <c r="Z163" s="646">
        <f>SUM(A163:J165)+X163</f>
        <v>16.5</v>
      </c>
      <c r="AA163" s="643">
        <f>IF((Z163-(VLOOKUP(K163,CBGV!$B$4:$P$70,13,0)))&lt;=-14,"/",(Z163-(VLOOKUP(K163,CBGV!$B$4:$P$70,13,0))))</f>
        <v>-0.5</v>
      </c>
      <c r="AB163" s="88" t="s">
        <v>99</v>
      </c>
    </row>
    <row r="164" spans="1:28" ht="11.25" customHeight="1" x14ac:dyDescent="0.25">
      <c r="A164" s="111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1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1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1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1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1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1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1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1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1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634"/>
      <c r="L164" s="637"/>
      <c r="M164" s="51" t="s">
        <v>36</v>
      </c>
      <c r="N164" s="280"/>
      <c r="O164" s="281"/>
      <c r="P164" s="281"/>
      <c r="Q164" s="281"/>
      <c r="R164" s="282"/>
      <c r="S164" s="282"/>
      <c r="T164" s="282"/>
      <c r="U164" s="283"/>
      <c r="V164" s="283"/>
      <c r="W164" s="284"/>
      <c r="X164" s="644"/>
      <c r="Y164" s="644"/>
      <c r="Z164" s="644"/>
      <c r="AA164" s="644"/>
      <c r="AB164" s="88" t="s">
        <v>99</v>
      </c>
    </row>
    <row r="165" spans="1:28" ht="11.25" customHeight="1" x14ac:dyDescent="0.25">
      <c r="A165" s="111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1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1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1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1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1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1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1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1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1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635"/>
      <c r="L165" s="638"/>
      <c r="M165" s="52" t="s">
        <v>36</v>
      </c>
      <c r="N165" s="285"/>
      <c r="O165" s="286"/>
      <c r="P165" s="286"/>
      <c r="Q165" s="286"/>
      <c r="R165" s="287"/>
      <c r="S165" s="287"/>
      <c r="T165" s="287"/>
      <c r="U165" s="288"/>
      <c r="V165" s="288"/>
      <c r="W165" s="289"/>
      <c r="X165" s="645"/>
      <c r="Y165" s="645"/>
      <c r="Z165" s="645"/>
      <c r="AA165" s="645"/>
      <c r="AB165" s="88" t="s">
        <v>99</v>
      </c>
    </row>
    <row r="166" spans="1:28" ht="11.25" customHeight="1" x14ac:dyDescent="0.25">
      <c r="A166" s="111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11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11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11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11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11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11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H166" s="111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I166" s="111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1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640" t="s">
        <v>424</v>
      </c>
      <c r="L166" s="636">
        <f>IF(K166=0,0,VLOOKUP(K166,CBGV!$B$4:$M$70,12,0))</f>
        <v>0</v>
      </c>
      <c r="M166" s="54" t="s">
        <v>36</v>
      </c>
      <c r="N166" s="275" t="s">
        <v>31</v>
      </c>
      <c r="O166" s="276" t="s">
        <v>21</v>
      </c>
      <c r="P166" s="276" t="s">
        <v>148</v>
      </c>
      <c r="Q166" s="276" t="s">
        <v>121</v>
      </c>
      <c r="R166" s="277" t="s">
        <v>116</v>
      </c>
      <c r="S166" s="277" t="s">
        <v>196</v>
      </c>
      <c r="T166" s="277" t="s">
        <v>197</v>
      </c>
      <c r="U166" s="278" t="s">
        <v>198</v>
      </c>
      <c r="V166" s="278"/>
      <c r="W166" s="279"/>
      <c r="X166" s="636">
        <f>IF(K166=0,0,VLOOKUP(K166,CBGV!$B$4:$P$70,14,0))+IF(L166=0,0,VLOOKUP(L166,'T-L-K'!$B$7:$BH$36,2,0))</f>
        <v>0</v>
      </c>
      <c r="Y166" s="639">
        <f>SUM(A166:J168)</f>
        <v>16</v>
      </c>
      <c r="Z166" s="639">
        <f>SUM(A166:J168)+X166</f>
        <v>16</v>
      </c>
      <c r="AA166" s="636">
        <f>IF((Z166-(VLOOKUP(K166,CBGV!$B$4:$P$70,13,0)))&lt;=-14,"/",(Z166-(VLOOKUP(K166,CBGV!$B$4:$P$70,13,0))))</f>
        <v>-1</v>
      </c>
      <c r="AB166" s="88" t="s">
        <v>99</v>
      </c>
    </row>
    <row r="167" spans="1:28" ht="11.25" customHeight="1" x14ac:dyDescent="0.25">
      <c r="A167" s="111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B167" s="111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C167" s="111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D167" s="111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E167" s="111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F167" s="111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G167" s="111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1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1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1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641"/>
      <c r="L167" s="637"/>
      <c r="M167" s="55" t="s">
        <v>36</v>
      </c>
      <c r="N167" s="280" t="s">
        <v>18</v>
      </c>
      <c r="O167" s="281" t="s">
        <v>24</v>
      </c>
      <c r="P167" s="281" t="s">
        <v>142</v>
      </c>
      <c r="Q167" s="281" t="s">
        <v>124</v>
      </c>
      <c r="R167" s="282" t="s">
        <v>138</v>
      </c>
      <c r="S167" s="282" t="s">
        <v>201</v>
      </c>
      <c r="T167" s="282"/>
      <c r="U167" s="283"/>
      <c r="V167" s="283"/>
      <c r="W167" s="284"/>
      <c r="X167" s="637"/>
      <c r="Y167" s="637"/>
      <c r="Z167" s="637"/>
      <c r="AA167" s="637"/>
      <c r="AB167" s="88" t="s">
        <v>99</v>
      </c>
    </row>
    <row r="168" spans="1:28" ht="11.25" customHeight="1" x14ac:dyDescent="0.25">
      <c r="A168" s="111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11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11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11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11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11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11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1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11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11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642"/>
      <c r="L168" s="638"/>
      <c r="M168" s="56" t="s">
        <v>36</v>
      </c>
      <c r="N168" s="285" t="s">
        <v>27</v>
      </c>
      <c r="O168" s="286" t="s">
        <v>30</v>
      </c>
      <c r="P168" s="286"/>
      <c r="Q168" s="286"/>
      <c r="R168" s="287"/>
      <c r="S168" s="287"/>
      <c r="T168" s="287"/>
      <c r="U168" s="288"/>
      <c r="V168" s="288"/>
      <c r="W168" s="289"/>
      <c r="X168" s="638"/>
      <c r="Y168" s="638"/>
      <c r="Z168" s="638"/>
      <c r="AA168" s="638"/>
      <c r="AB168" s="88" t="s">
        <v>99</v>
      </c>
    </row>
    <row r="169" spans="1:28" ht="11.25" customHeight="1" x14ac:dyDescent="0.25">
      <c r="A169" s="111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B169" s="111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C169" s="111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D169" s="111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E169" s="111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11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11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11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11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1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633" t="s">
        <v>101</v>
      </c>
      <c r="L169" s="636">
        <f>IF(K169=0,0,VLOOKUP(K169,CBGV!$B$4:$M$70,12,0))</f>
        <v>0</v>
      </c>
      <c r="M169" s="57" t="s">
        <v>34</v>
      </c>
      <c r="N169" s="275"/>
      <c r="O169" s="276"/>
      <c r="P169" s="276"/>
      <c r="Q169" s="276"/>
      <c r="R169" s="277"/>
      <c r="S169" s="277"/>
      <c r="T169" s="277"/>
      <c r="U169" s="278"/>
      <c r="V169" s="278"/>
      <c r="W169" s="279"/>
      <c r="X169" s="643">
        <f>IF(K169=0,0,VLOOKUP(K169,CBGV!$B$4:$P$70,14,0))+IF(L169=0,0,VLOOKUP(L169,'T-L-K'!$B$7:$BH$36,2,0))</f>
        <v>0</v>
      </c>
      <c r="Y169" s="646">
        <f>SUM(A169:J171)</f>
        <v>18</v>
      </c>
      <c r="Z169" s="646">
        <f>SUM(A169:J171)+X169</f>
        <v>18</v>
      </c>
      <c r="AA169" s="643">
        <f>IF((Z169-(VLOOKUP(K169,CBGV!$B$4:$P$70,13,0)))&lt;=-14,"/",(Z169-(VLOOKUP(K169,CBGV!$B$4:$P$70,13,0))))</f>
        <v>1</v>
      </c>
      <c r="AB169" s="88" t="s">
        <v>99</v>
      </c>
    </row>
    <row r="170" spans="1:28" ht="11.25" customHeight="1" x14ac:dyDescent="0.25">
      <c r="A170" s="111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B170" s="111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C170" s="111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D170" s="111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E170" s="111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F170" s="111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G170" s="111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H170" s="111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I170" s="111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1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634"/>
      <c r="L170" s="637"/>
      <c r="M170" s="51" t="s">
        <v>34</v>
      </c>
      <c r="N170" s="280" t="s">
        <v>20</v>
      </c>
      <c r="O170" s="281" t="s">
        <v>140</v>
      </c>
      <c r="P170" s="281" t="s">
        <v>173</v>
      </c>
      <c r="Q170" s="281" t="s">
        <v>458</v>
      </c>
      <c r="R170" s="282" t="s">
        <v>214</v>
      </c>
      <c r="S170" s="282" t="s">
        <v>215</v>
      </c>
      <c r="T170" s="282" t="s">
        <v>507</v>
      </c>
      <c r="U170" s="283" t="s">
        <v>508</v>
      </c>
      <c r="V170" s="283"/>
      <c r="W170" s="284"/>
      <c r="X170" s="644"/>
      <c r="Y170" s="644"/>
      <c r="Z170" s="644"/>
      <c r="AA170" s="644"/>
      <c r="AB170" s="88" t="s">
        <v>99</v>
      </c>
    </row>
    <row r="171" spans="1:28" ht="11.25" customHeight="1" x14ac:dyDescent="0.25">
      <c r="A171" s="111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1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1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11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11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1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11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11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11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11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635"/>
      <c r="L171" s="638"/>
      <c r="M171" s="52" t="s">
        <v>36</v>
      </c>
      <c r="N171" s="285" t="s">
        <v>202</v>
      </c>
      <c r="O171" s="286" t="s">
        <v>203</v>
      </c>
      <c r="P171" s="286"/>
      <c r="Q171" s="286"/>
      <c r="R171" s="287"/>
      <c r="S171" s="287"/>
      <c r="T171" s="287"/>
      <c r="U171" s="288"/>
      <c r="V171" s="288"/>
      <c r="W171" s="289"/>
      <c r="X171" s="645"/>
      <c r="Y171" s="645"/>
      <c r="Z171" s="645"/>
      <c r="AA171" s="645"/>
      <c r="AB171" s="88" t="s">
        <v>99</v>
      </c>
    </row>
    <row r="172" spans="1:28" ht="11.25" customHeight="1" x14ac:dyDescent="0.25">
      <c r="A172" s="111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11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C172" s="111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D172" s="111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11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11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1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1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1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1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640" t="s">
        <v>102</v>
      </c>
      <c r="L172" s="636">
        <f>IF(K172=0,0,VLOOKUP(K172,CBGV!$B$4:$M$70,12,0))</f>
        <v>0</v>
      </c>
      <c r="M172" s="54" t="s">
        <v>34</v>
      </c>
      <c r="N172" s="275"/>
      <c r="O172" s="276"/>
      <c r="P172" s="276"/>
      <c r="Q172" s="276"/>
      <c r="R172" s="277"/>
      <c r="S172" s="277"/>
      <c r="T172" s="277"/>
      <c r="U172" s="278"/>
      <c r="V172" s="278"/>
      <c r="W172" s="279"/>
      <c r="X172" s="636">
        <f>IF(K172=0,0,VLOOKUP(K172,CBGV!$B$4:$P$70,14,0))+IF(L172=0,0,VLOOKUP(L172,'T-L-K'!$B$7:$BH$36,2,0))</f>
        <v>3</v>
      </c>
      <c r="Y172" s="639">
        <f>SUM(A172:J174)</f>
        <v>14</v>
      </c>
      <c r="Z172" s="639">
        <f>SUM(A172:J174)+X172</f>
        <v>17</v>
      </c>
      <c r="AA172" s="636">
        <f>IF((Z172-(VLOOKUP(K172,CBGV!$B$4:$P$70,13,0)))&lt;=-14,"/",(Z172-(VLOOKUP(K172,CBGV!$B$4:$P$70,13,0))))</f>
        <v>0</v>
      </c>
      <c r="AB172" s="88" t="s">
        <v>99</v>
      </c>
    </row>
    <row r="173" spans="1:28" ht="11.25" customHeight="1" x14ac:dyDescent="0.25">
      <c r="A173" s="111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1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1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1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1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1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G173" s="111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11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11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1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641"/>
      <c r="L173" s="637"/>
      <c r="M173" s="55" t="s">
        <v>34</v>
      </c>
      <c r="N173" s="280" t="s">
        <v>138</v>
      </c>
      <c r="O173" s="281" t="s">
        <v>201</v>
      </c>
      <c r="P173" s="281" t="s">
        <v>202</v>
      </c>
      <c r="Q173" s="281" t="s">
        <v>203</v>
      </c>
      <c r="R173" s="282" t="s">
        <v>204</v>
      </c>
      <c r="S173" s="282" t="s">
        <v>304</v>
      </c>
      <c r="T173" s="282"/>
      <c r="U173" s="283"/>
      <c r="V173" s="283"/>
      <c r="W173" s="284"/>
      <c r="X173" s="637"/>
      <c r="Y173" s="637"/>
      <c r="Z173" s="637"/>
      <c r="AA173" s="637"/>
      <c r="AB173" s="88" t="s">
        <v>99</v>
      </c>
    </row>
    <row r="174" spans="1:28" ht="11.25" customHeight="1" x14ac:dyDescent="0.25">
      <c r="A174" s="111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11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11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1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1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1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1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1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1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1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642"/>
      <c r="L174" s="638"/>
      <c r="M174" s="56" t="s">
        <v>36</v>
      </c>
      <c r="N174" s="285" t="s">
        <v>204</v>
      </c>
      <c r="O174" s="286" t="s">
        <v>304</v>
      </c>
      <c r="P174" s="286"/>
      <c r="Q174" s="286"/>
      <c r="R174" s="287"/>
      <c r="S174" s="287"/>
      <c r="T174" s="287"/>
      <c r="U174" s="288"/>
      <c r="V174" s="288"/>
      <c r="W174" s="289"/>
      <c r="X174" s="638"/>
      <c r="Y174" s="638"/>
      <c r="Z174" s="638"/>
      <c r="AA174" s="638"/>
      <c r="AB174" s="88" t="s">
        <v>99</v>
      </c>
    </row>
    <row r="175" spans="1:28" ht="11.25" customHeight="1" x14ac:dyDescent="0.25">
      <c r="A175" s="111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11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C175" s="111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11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11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11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11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11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1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1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633" t="s">
        <v>103</v>
      </c>
      <c r="L175" s="636" t="str">
        <f>IF(K175=0,0,VLOOKUP(K175,CBGV!$B$4:$M$70,12,0))</f>
        <v>10A3</v>
      </c>
      <c r="M175" s="57" t="s">
        <v>34</v>
      </c>
      <c r="N175" s="275" t="s">
        <v>31</v>
      </c>
      <c r="O175" s="276" t="s">
        <v>21</v>
      </c>
      <c r="P175" s="276" t="s">
        <v>148</v>
      </c>
      <c r="Q175" s="276" t="s">
        <v>121</v>
      </c>
      <c r="R175" s="277"/>
      <c r="S175" s="277"/>
      <c r="T175" s="277"/>
      <c r="U175" s="278"/>
      <c r="V175" s="278"/>
      <c r="W175" s="279"/>
      <c r="X175" s="643">
        <f>IF(K175=0,0,VLOOKUP(K175,CBGV!$B$4:$P$70,14,0))+IF(L175=0,0,VLOOKUP(L175,'T-L-K'!$B$7:$BH$36,2,0))</f>
        <v>5</v>
      </c>
      <c r="Y175" s="646">
        <f>SUM(A175:J177)</f>
        <v>12</v>
      </c>
      <c r="Z175" s="646">
        <f>SUM(A175:J177)+X175</f>
        <v>17</v>
      </c>
      <c r="AA175" s="643">
        <f>IF((Z175-(VLOOKUP(K175,CBGV!$B$4:$P$70,13,0)))&lt;=-14,"/",(Z175-(VLOOKUP(K175,CBGV!$B$4:$P$70,13,0))))</f>
        <v>0</v>
      </c>
      <c r="AB175" s="88" t="s">
        <v>99</v>
      </c>
    </row>
    <row r="176" spans="1:28" ht="11.25" customHeight="1" x14ac:dyDescent="0.25">
      <c r="A176" s="111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1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1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D176" s="111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E176" s="111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11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11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1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1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1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634"/>
      <c r="L176" s="637"/>
      <c r="M176" s="51" t="s">
        <v>34</v>
      </c>
      <c r="N176" s="280" t="s">
        <v>27</v>
      </c>
      <c r="O176" s="281" t="s">
        <v>30</v>
      </c>
      <c r="P176" s="281"/>
      <c r="Q176" s="281"/>
      <c r="R176" s="282"/>
      <c r="S176" s="282"/>
      <c r="T176" s="282"/>
      <c r="U176" s="283"/>
      <c r="V176" s="283"/>
      <c r="W176" s="284"/>
      <c r="X176" s="644"/>
      <c r="Y176" s="644"/>
      <c r="Z176" s="644"/>
      <c r="AA176" s="644"/>
      <c r="AB176" s="88" t="s">
        <v>99</v>
      </c>
    </row>
    <row r="177" spans="1:28" ht="11.25" customHeight="1" x14ac:dyDescent="0.25">
      <c r="A177" s="111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11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11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1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1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1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1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1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1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1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635"/>
      <c r="L177" s="638"/>
      <c r="M177" s="52" t="s">
        <v>34</v>
      </c>
      <c r="N177" s="285"/>
      <c r="O177" s="286"/>
      <c r="P177" s="286"/>
      <c r="Q177" s="286"/>
      <c r="R177" s="287"/>
      <c r="S177" s="287"/>
      <c r="T177" s="287"/>
      <c r="U177" s="288"/>
      <c r="V177" s="288"/>
      <c r="W177" s="289"/>
      <c r="X177" s="645"/>
      <c r="Y177" s="645"/>
      <c r="Z177" s="645"/>
      <c r="AA177" s="645"/>
      <c r="AB177" s="88" t="s">
        <v>99</v>
      </c>
    </row>
    <row r="178" spans="1:28" ht="11.25" customHeight="1" x14ac:dyDescent="0.25">
      <c r="A178" s="111">
        <f>IF(N178=0,0,VLOOKUP(N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B178" s="111">
        <f>IF(O178=0,0,VLOOKUP(O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C178" s="111">
        <f>IF(P178=0,0,VLOOKUP(P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D178" s="111">
        <f>IF(Q178=0,0,VLOOKUP(Q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E178" s="111">
        <f>IF(R178=0,0,VLOOKUP(R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11">
        <f>IF(S178=0,0,VLOOKUP(S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11">
        <f>IF(T178=0,0,VLOOKUP(T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11">
        <f>IF(U178=0,0,VLOOKUP(U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11">
        <f>IF(V178=0,0,VLOOKUP(V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11">
        <f>IF(W178=0,0,VLOOKUP(W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640" t="s">
        <v>104</v>
      </c>
      <c r="L178" s="636">
        <f>IF(K178=0,0,VLOOKUP(K178,CBGV!$B$4:$M$70,12,0))</f>
        <v>0</v>
      </c>
      <c r="M178" s="54" t="s">
        <v>34</v>
      </c>
      <c r="N178" s="275" t="s">
        <v>116</v>
      </c>
      <c r="O178" s="276" t="s">
        <v>196</v>
      </c>
      <c r="P178" s="276" t="s">
        <v>197</v>
      </c>
      <c r="Q178" s="276" t="s">
        <v>198</v>
      </c>
      <c r="R178" s="277"/>
      <c r="S178" s="277"/>
      <c r="T178" s="277"/>
      <c r="U178" s="278"/>
      <c r="V178" s="278"/>
      <c r="W178" s="279"/>
      <c r="X178" s="636">
        <f>IF(K178=0,0,VLOOKUP(K178,CBGV!$B$4:$P$70,14,0))+IF(L178=0,0,VLOOKUP(L178,'T-L-K'!$B$7:$BH$36,2,0))</f>
        <v>0</v>
      </c>
      <c r="Y178" s="639">
        <f>SUM(A178:J180)</f>
        <v>16</v>
      </c>
      <c r="Z178" s="639">
        <f>SUM(A178:J180)+X178</f>
        <v>16</v>
      </c>
      <c r="AA178" s="636">
        <f>IF((Z178-(VLOOKUP(K178,CBGV!$B$4:$P$70,13,0)))&lt;=-14,"/",(Z178-(VLOOKUP(K178,CBGV!$B$4:$P$70,13,0))))</f>
        <v>-1</v>
      </c>
      <c r="AB178" s="88" t="s">
        <v>99</v>
      </c>
    </row>
    <row r="179" spans="1:28" ht="11.25" customHeight="1" x14ac:dyDescent="0.25">
      <c r="A179" s="111">
        <f>IF(N179=0,0,VLOOKUP(N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B179" s="111">
        <f>IF(O179=0,0,VLOOKUP(O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C179" s="111">
        <f>IF(P179=0,0,VLOOKUP(P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D179" s="111">
        <f>IF(Q179=0,0,VLOOKUP(Q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E179" s="111">
        <f>IF(R179=0,0,VLOOKUP(R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11">
        <f>IF(S179=0,0,VLOOKUP(S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11">
        <f>IF(T179=0,0,VLOOKUP(T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11">
        <f>IF(U179=0,0,VLOOKUP(U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11">
        <f>IF(V179=0,0,VLOOKUP(V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11">
        <f>IF(W179=0,0,VLOOKUP(W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641"/>
      <c r="L179" s="637"/>
      <c r="M179" s="55" t="s">
        <v>34</v>
      </c>
      <c r="N179" s="280" t="s">
        <v>18</v>
      </c>
      <c r="O179" s="281" t="s">
        <v>24</v>
      </c>
      <c r="P179" s="281" t="s">
        <v>142</v>
      </c>
      <c r="Q179" s="281" t="s">
        <v>124</v>
      </c>
      <c r="R179" s="282"/>
      <c r="S179" s="282"/>
      <c r="T179" s="282"/>
      <c r="U179" s="283"/>
      <c r="V179" s="283"/>
      <c r="W179" s="284"/>
      <c r="X179" s="637"/>
      <c r="Y179" s="637"/>
      <c r="Z179" s="637"/>
      <c r="AA179" s="637"/>
      <c r="AB179" s="88" t="s">
        <v>99</v>
      </c>
    </row>
    <row r="180" spans="1:28" ht="11.25" customHeight="1" x14ac:dyDescent="0.25">
      <c r="A180" s="111">
        <f>IF(N180=0,0,VLOOKUP(N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11">
        <f>IF(O180=0,0,VLOOKUP(O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11">
        <f>IF(P180=0,0,VLOOKUP(P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11">
        <f>IF(Q180=0,0,VLOOKUP(Q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11">
        <f>IF(R180=0,0,VLOOKUP(R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11">
        <f>IF(S180=0,0,VLOOKUP(S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11">
        <f>IF(T180=0,0,VLOOKUP(T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11">
        <f>IF(U180=0,0,VLOOKUP(U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11">
        <f>IF(V180=0,0,VLOOKUP(V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11">
        <f>IF(W180=0,0,VLOOKUP(W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642"/>
      <c r="L180" s="638"/>
      <c r="M180" s="56" t="s">
        <v>36</v>
      </c>
      <c r="N180" s="285"/>
      <c r="O180" s="286"/>
      <c r="P180" s="286"/>
      <c r="Q180" s="286"/>
      <c r="R180" s="287"/>
      <c r="S180" s="287"/>
      <c r="T180" s="287"/>
      <c r="U180" s="288"/>
      <c r="V180" s="288"/>
      <c r="W180" s="289"/>
      <c r="X180" s="638"/>
      <c r="Y180" s="638"/>
      <c r="Z180" s="638"/>
      <c r="AA180" s="638"/>
      <c r="AB180" s="88" t="s">
        <v>99</v>
      </c>
    </row>
    <row r="181" spans="1:28" s="58" customFormat="1" ht="12.75" customHeight="1" x14ac:dyDescent="0.25">
      <c r="B181" s="59"/>
      <c r="C181" s="60"/>
      <c r="E181" s="60"/>
      <c r="G181" s="60"/>
      <c r="I181" s="60"/>
      <c r="K181" s="61"/>
      <c r="L181" s="61"/>
      <c r="M181" s="135"/>
      <c r="N181" s="135"/>
      <c r="O181" s="134"/>
      <c r="P181" s="62"/>
      <c r="Q181" s="62"/>
      <c r="R181" s="62"/>
      <c r="S181" s="61"/>
      <c r="T181" s="61"/>
      <c r="U181" s="61"/>
      <c r="V181" s="61"/>
      <c r="W181" s="61"/>
      <c r="X181" s="63">
        <f>SUMIF(X4:X180,"&gt;0")</f>
        <v>253</v>
      </c>
      <c r="Y181" s="63">
        <f>SUMIF(Y4:Y180,"&gt;0")</f>
        <v>808</v>
      </c>
      <c r="Z181" s="63">
        <f>SUMIF(Z4:Z180,"&gt;0")</f>
        <v>1061</v>
      </c>
      <c r="AA181" s="63">
        <f>SUMIF(AA4:AA180,"&gt;0")+SUMIF(AA4:AA180,"&lt;0")</f>
        <v>58</v>
      </c>
      <c r="AB181" s="64"/>
    </row>
    <row r="182" spans="1:28" s="1" customFormat="1" x14ac:dyDescent="0.25">
      <c r="B182" s="46"/>
      <c r="C182" s="47"/>
      <c r="E182" s="47"/>
      <c r="G182" s="47"/>
      <c r="I182" s="47"/>
      <c r="K182" s="48"/>
      <c r="L182" s="53"/>
      <c r="M182" s="135"/>
      <c r="N182" s="135"/>
      <c r="O182" s="134"/>
      <c r="P182" s="48"/>
      <c r="Q182" s="48"/>
      <c r="R182" s="48"/>
      <c r="S182" s="48"/>
      <c r="T182" s="48"/>
      <c r="U182" s="48"/>
      <c r="V182" s="509" t="s">
        <v>532</v>
      </c>
      <c r="W182" s="509"/>
      <c r="X182" s="509"/>
      <c r="Y182" s="48"/>
      <c r="Z182" s="48"/>
      <c r="AA182" s="48"/>
      <c r="AB182" s="49"/>
    </row>
    <row r="183" spans="1:28" x14ac:dyDescent="0.25">
      <c r="M183" s="135"/>
      <c r="N183" s="135"/>
      <c r="O183" s="134"/>
    </row>
    <row r="184" spans="1:28" x14ac:dyDescent="0.25">
      <c r="V184" s="510" t="s">
        <v>136</v>
      </c>
      <c r="W184" s="510"/>
      <c r="X184" s="510"/>
    </row>
  </sheetData>
  <autoFilter ref="A3:AB18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4">
    <mergeCell ref="K112:K114"/>
    <mergeCell ref="L112:L114"/>
    <mergeCell ref="X112:X114"/>
    <mergeCell ref="Y112:Y114"/>
    <mergeCell ref="Z112:Z114"/>
    <mergeCell ref="AA112:AA114"/>
    <mergeCell ref="K124:K126"/>
    <mergeCell ref="L124:L126"/>
    <mergeCell ref="Y124:Y126"/>
    <mergeCell ref="Z124:Z126"/>
    <mergeCell ref="AA124:AA126"/>
    <mergeCell ref="AA115:AA117"/>
    <mergeCell ref="K31:K33"/>
    <mergeCell ref="L31:L33"/>
    <mergeCell ref="V182:X182"/>
    <mergeCell ref="V184:X184"/>
    <mergeCell ref="Y115:Y117"/>
    <mergeCell ref="X115:X117"/>
    <mergeCell ref="Z133:Z135"/>
    <mergeCell ref="AA133:AA135"/>
    <mergeCell ref="Z127:Z129"/>
    <mergeCell ref="AA127:AA129"/>
    <mergeCell ref="Z121:Z123"/>
    <mergeCell ref="AA121:AA123"/>
    <mergeCell ref="Z118:Z120"/>
    <mergeCell ref="AA118:AA120"/>
    <mergeCell ref="Z142:Z144"/>
    <mergeCell ref="AA142:AA144"/>
    <mergeCell ref="AA157:AA159"/>
    <mergeCell ref="Z154:Z156"/>
    <mergeCell ref="AA154:AA156"/>
    <mergeCell ref="Z148:Z150"/>
    <mergeCell ref="AA148:AA150"/>
    <mergeCell ref="Z151:Z153"/>
    <mergeCell ref="K34:K36"/>
    <mergeCell ref="L34:L36"/>
    <mergeCell ref="Q2:R2"/>
    <mergeCell ref="T2:U2"/>
    <mergeCell ref="V2:W2"/>
    <mergeCell ref="Z1:AA1"/>
    <mergeCell ref="A3:J3"/>
    <mergeCell ref="N3:W3"/>
    <mergeCell ref="K10:K12"/>
    <mergeCell ref="L10:L12"/>
    <mergeCell ref="K28:K30"/>
    <mergeCell ref="L28:L30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Z7:Z9"/>
    <mergeCell ref="AA7:AA9"/>
    <mergeCell ref="K4:K6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Z22:Z24"/>
    <mergeCell ref="AA22:AA24"/>
    <mergeCell ref="X34:X36"/>
    <mergeCell ref="Y34:Y36"/>
    <mergeCell ref="X22:X24"/>
    <mergeCell ref="Y22:Y24"/>
    <mergeCell ref="X13:X15"/>
    <mergeCell ref="Y13:Y15"/>
    <mergeCell ref="Z13:Z15"/>
    <mergeCell ref="AA13:AA15"/>
    <mergeCell ref="AA43:AA45"/>
    <mergeCell ref="X43:X45"/>
    <mergeCell ref="Y43:Y45"/>
    <mergeCell ref="AA40:AA42"/>
    <mergeCell ref="AA37:AA39"/>
    <mergeCell ref="X25:X27"/>
    <mergeCell ref="Y25:Y27"/>
    <mergeCell ref="Z34:Z36"/>
    <mergeCell ref="AA34:AA36"/>
    <mergeCell ref="X31:X33"/>
    <mergeCell ref="Y31:Y33"/>
    <mergeCell ref="X28:X30"/>
    <mergeCell ref="Y28:Y30"/>
    <mergeCell ref="Z31:Z33"/>
    <mergeCell ref="AA31:AA33"/>
    <mergeCell ref="Z28:Z30"/>
    <mergeCell ref="AA28:AA30"/>
    <mergeCell ref="Z25:Z27"/>
    <mergeCell ref="AA25:AA27"/>
    <mergeCell ref="K40:K42"/>
    <mergeCell ref="L40:L42"/>
    <mergeCell ref="K37:K39"/>
    <mergeCell ref="L37:L39"/>
    <mergeCell ref="X37:X39"/>
    <mergeCell ref="Y37:Y39"/>
    <mergeCell ref="K43:K45"/>
    <mergeCell ref="L43:L45"/>
    <mergeCell ref="Z40:Z42"/>
    <mergeCell ref="Z37:Z39"/>
    <mergeCell ref="X40:X42"/>
    <mergeCell ref="Y40:Y42"/>
    <mergeCell ref="Z43:Z45"/>
    <mergeCell ref="L49:L51"/>
    <mergeCell ref="X49:X51"/>
    <mergeCell ref="Y49:Y51"/>
    <mergeCell ref="X46:X48"/>
    <mergeCell ref="Y46:Y48"/>
    <mergeCell ref="Z58:Z60"/>
    <mergeCell ref="AA58:AA60"/>
    <mergeCell ref="Z55:Z57"/>
    <mergeCell ref="AA55:AA57"/>
    <mergeCell ref="Z49:Z51"/>
    <mergeCell ref="AA49:AA51"/>
    <mergeCell ref="Z52:Z54"/>
    <mergeCell ref="AA52:AA54"/>
    <mergeCell ref="Z46:Z48"/>
    <mergeCell ref="AA46:AA48"/>
    <mergeCell ref="Y52:Y54"/>
    <mergeCell ref="X55:X57"/>
    <mergeCell ref="Y55:Y57"/>
    <mergeCell ref="K73:K75"/>
    <mergeCell ref="L73:L75"/>
    <mergeCell ref="K79:K81"/>
    <mergeCell ref="L79:L81"/>
    <mergeCell ref="K76:K78"/>
    <mergeCell ref="L76:L78"/>
    <mergeCell ref="K70:K72"/>
    <mergeCell ref="L70:L72"/>
    <mergeCell ref="X61:X63"/>
    <mergeCell ref="K61:K63"/>
    <mergeCell ref="L61:L63"/>
    <mergeCell ref="K64:K66"/>
    <mergeCell ref="L64:L66"/>
    <mergeCell ref="K67:K69"/>
    <mergeCell ref="L67:L69"/>
    <mergeCell ref="Z79:Z81"/>
    <mergeCell ref="AA79:AA81"/>
    <mergeCell ref="X79:X81"/>
    <mergeCell ref="Y79:Y81"/>
    <mergeCell ref="Z67:Z69"/>
    <mergeCell ref="AA67:AA69"/>
    <mergeCell ref="Z70:Z72"/>
    <mergeCell ref="AA70:AA72"/>
    <mergeCell ref="X76:X78"/>
    <mergeCell ref="Y76:Y78"/>
    <mergeCell ref="X73:X75"/>
    <mergeCell ref="Y73:Y75"/>
    <mergeCell ref="Z76:Z78"/>
    <mergeCell ref="AA76:AA78"/>
    <mergeCell ref="Z73:Z75"/>
    <mergeCell ref="AA73:AA75"/>
    <mergeCell ref="X70:X72"/>
    <mergeCell ref="Y70:Y72"/>
    <mergeCell ref="X67:X69"/>
    <mergeCell ref="Y67:Y69"/>
    <mergeCell ref="L88:L90"/>
    <mergeCell ref="K82:K84"/>
    <mergeCell ref="L82:L84"/>
    <mergeCell ref="K85:K87"/>
    <mergeCell ref="L85:L87"/>
    <mergeCell ref="Z82:Z84"/>
    <mergeCell ref="AA82:AA84"/>
    <mergeCell ref="X82:X84"/>
    <mergeCell ref="Y82:Y84"/>
    <mergeCell ref="X88:X90"/>
    <mergeCell ref="Y88:Y90"/>
    <mergeCell ref="X85:X87"/>
    <mergeCell ref="Y85:Y87"/>
    <mergeCell ref="Z85:Z87"/>
    <mergeCell ref="AA85:AA87"/>
    <mergeCell ref="X94:X96"/>
    <mergeCell ref="Y94:Y96"/>
    <mergeCell ref="X91:X93"/>
    <mergeCell ref="Y91:Y93"/>
    <mergeCell ref="Z94:Z96"/>
    <mergeCell ref="Z88:Z90"/>
    <mergeCell ref="AA88:AA90"/>
    <mergeCell ref="K115:K117"/>
    <mergeCell ref="AA94:AA96"/>
    <mergeCell ref="X97:X99"/>
    <mergeCell ref="Y97:Y99"/>
    <mergeCell ref="Z97:Z99"/>
    <mergeCell ref="AA97:AA99"/>
    <mergeCell ref="K94:K96"/>
    <mergeCell ref="L94:L96"/>
    <mergeCell ref="Z100:Z102"/>
    <mergeCell ref="AA100:AA102"/>
    <mergeCell ref="K97:K99"/>
    <mergeCell ref="L97:L99"/>
    <mergeCell ref="K91:K93"/>
    <mergeCell ref="L91:L93"/>
    <mergeCell ref="Z91:Z93"/>
    <mergeCell ref="AA91:AA93"/>
    <mergeCell ref="K88:K90"/>
    <mergeCell ref="K100:K102"/>
    <mergeCell ref="L100:L102"/>
    <mergeCell ref="K109:K111"/>
    <mergeCell ref="L109:L111"/>
    <mergeCell ref="X109:X111"/>
    <mergeCell ref="Y109:Y111"/>
    <mergeCell ref="X103:X105"/>
    <mergeCell ref="Y103:Y105"/>
    <mergeCell ref="X100:X102"/>
    <mergeCell ref="Y100:Y102"/>
    <mergeCell ref="Z103:Z105"/>
    <mergeCell ref="AA103:AA105"/>
    <mergeCell ref="K103:K105"/>
    <mergeCell ref="L103:L105"/>
    <mergeCell ref="Z109:Z111"/>
    <mergeCell ref="AA109:AA111"/>
    <mergeCell ref="K106:K108"/>
    <mergeCell ref="L106:L108"/>
    <mergeCell ref="X106:X108"/>
    <mergeCell ref="Y106:Y108"/>
    <mergeCell ref="Z106:Z108"/>
    <mergeCell ref="AA106:AA108"/>
    <mergeCell ref="X130:X132"/>
    <mergeCell ref="Y130:Y132"/>
    <mergeCell ref="X121:X123"/>
    <mergeCell ref="Y121:Y123"/>
    <mergeCell ref="K130:K132"/>
    <mergeCell ref="L130:L132"/>
    <mergeCell ref="Y127:Y129"/>
    <mergeCell ref="X133:X135"/>
    <mergeCell ref="Y133:Y135"/>
    <mergeCell ref="X124:X126"/>
    <mergeCell ref="Z178:Z180"/>
    <mergeCell ref="AA178:AA180"/>
    <mergeCell ref="X178:X180"/>
    <mergeCell ref="Y178:Y180"/>
    <mergeCell ref="Z172:Z174"/>
    <mergeCell ref="AA172:AA174"/>
    <mergeCell ref="Z175:Z177"/>
    <mergeCell ref="AA175:AA177"/>
    <mergeCell ref="AA166:AA168"/>
    <mergeCell ref="Z169:Z171"/>
    <mergeCell ref="AA169:AA171"/>
    <mergeCell ref="Z166:Z168"/>
    <mergeCell ref="K169:K171"/>
    <mergeCell ref="L169:L171"/>
    <mergeCell ref="X169:X171"/>
    <mergeCell ref="Y169:Y171"/>
    <mergeCell ref="X166:X168"/>
    <mergeCell ref="Y166:Y168"/>
    <mergeCell ref="K166:K168"/>
    <mergeCell ref="L166:L168"/>
    <mergeCell ref="X163:X165"/>
    <mergeCell ref="Y163:Y165"/>
    <mergeCell ref="K163:K165"/>
    <mergeCell ref="K178:K180"/>
    <mergeCell ref="L178:L180"/>
    <mergeCell ref="X175:X177"/>
    <mergeCell ref="Y175:Y177"/>
    <mergeCell ref="X172:X174"/>
    <mergeCell ref="Y172:Y174"/>
    <mergeCell ref="K175:K177"/>
    <mergeCell ref="L175:L177"/>
    <mergeCell ref="K172:K174"/>
    <mergeCell ref="L172:L174"/>
    <mergeCell ref="Z136:Z138"/>
    <mergeCell ref="L115:L117"/>
    <mergeCell ref="Z115:Z117"/>
    <mergeCell ref="K118:K120"/>
    <mergeCell ref="L118:L120"/>
    <mergeCell ref="AA163:AA165"/>
    <mergeCell ref="Z160:Z162"/>
    <mergeCell ref="AA160:AA162"/>
    <mergeCell ref="Y139:Y141"/>
    <mergeCell ref="AA136:AA138"/>
    <mergeCell ref="Z139:Z141"/>
    <mergeCell ref="AA139:AA141"/>
    <mergeCell ref="Z130:Z132"/>
    <mergeCell ref="AA130:AA132"/>
    <mergeCell ref="K127:K129"/>
    <mergeCell ref="L127:L129"/>
    <mergeCell ref="K121:K123"/>
    <mergeCell ref="L121:L123"/>
    <mergeCell ref="K136:K138"/>
    <mergeCell ref="L136:L138"/>
    <mergeCell ref="X136:X138"/>
    <mergeCell ref="Y136:Y138"/>
    <mergeCell ref="K133:K135"/>
    <mergeCell ref="L133:L135"/>
    <mergeCell ref="K157:K159"/>
    <mergeCell ref="L157:L159"/>
    <mergeCell ref="Z157:Z159"/>
    <mergeCell ref="L154:L156"/>
    <mergeCell ref="X157:X159"/>
    <mergeCell ref="Y157:Y159"/>
    <mergeCell ref="K139:K141"/>
    <mergeCell ref="L139:L141"/>
    <mergeCell ref="Z163:Z165"/>
    <mergeCell ref="X139:X141"/>
    <mergeCell ref="Y148:Y150"/>
    <mergeCell ref="X151:X153"/>
    <mergeCell ref="Y151:Y153"/>
    <mergeCell ref="K1:O2"/>
    <mergeCell ref="P1:V1"/>
    <mergeCell ref="K46:K48"/>
    <mergeCell ref="L46:L48"/>
    <mergeCell ref="X52:X54"/>
    <mergeCell ref="K160:K162"/>
    <mergeCell ref="L160:L162"/>
    <mergeCell ref="X160:X162"/>
    <mergeCell ref="Y160:Y162"/>
    <mergeCell ref="Y145:Y147"/>
    <mergeCell ref="X142:X144"/>
    <mergeCell ref="Y142:Y144"/>
    <mergeCell ref="K148:K150"/>
    <mergeCell ref="L148:L150"/>
    <mergeCell ref="K151:K153"/>
    <mergeCell ref="L151:L153"/>
    <mergeCell ref="X148:X150"/>
    <mergeCell ref="K55:K57"/>
    <mergeCell ref="L55:L57"/>
    <mergeCell ref="K58:K60"/>
    <mergeCell ref="L58:L60"/>
    <mergeCell ref="X58:X60"/>
    <mergeCell ref="Y58:Y60"/>
    <mergeCell ref="K52:K54"/>
    <mergeCell ref="K49:K51"/>
    <mergeCell ref="L163:L165"/>
    <mergeCell ref="X154:X156"/>
    <mergeCell ref="Y154:Y156"/>
    <mergeCell ref="K154:K156"/>
    <mergeCell ref="L52:L54"/>
    <mergeCell ref="AA151:AA153"/>
    <mergeCell ref="K142:K144"/>
    <mergeCell ref="L142:L144"/>
    <mergeCell ref="K145:K147"/>
    <mergeCell ref="L145:L147"/>
    <mergeCell ref="Z145:Z147"/>
    <mergeCell ref="AA145:AA147"/>
    <mergeCell ref="X145:X147"/>
    <mergeCell ref="Z61:Z63"/>
    <mergeCell ref="AA61:AA63"/>
    <mergeCell ref="Z64:Z66"/>
    <mergeCell ref="AA64:AA66"/>
    <mergeCell ref="X64:X66"/>
    <mergeCell ref="Y64:Y66"/>
    <mergeCell ref="Y61:Y63"/>
    <mergeCell ref="X118:X120"/>
    <mergeCell ref="Y118:Y120"/>
    <mergeCell ref="X127:X129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P924"/>
  <sheetViews>
    <sheetView tabSelected="1" zoomScale="115" zoomScaleNormal="115" workbookViewId="0">
      <pane xSplit="3" ySplit="6" topLeftCell="D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U13" sqref="U13"/>
    </sheetView>
  </sheetViews>
  <sheetFormatPr defaultColWidth="9" defaultRowHeight="15" x14ac:dyDescent="0.25"/>
  <cols>
    <col min="1" max="1" width="3.25" style="89" customWidth="1"/>
    <col min="2" max="2" width="2.75" style="89" customWidth="1"/>
    <col min="3" max="3" width="7.25" style="89" customWidth="1"/>
    <col min="4" max="4" width="4.25" style="89" customWidth="1"/>
    <col min="5" max="31" width="4.125" style="89" customWidth="1"/>
    <col min="32" max="35" width="2.25" style="127" bestFit="1" customWidth="1"/>
    <col min="36" max="43" width="2.5" style="127" bestFit="1" customWidth="1"/>
    <col min="44" max="52" width="2.625" style="127" bestFit="1" customWidth="1"/>
    <col min="53" max="57" width="2.25" style="127" bestFit="1" customWidth="1"/>
    <col min="58" max="61" width="2.625" style="127" bestFit="1" customWidth="1"/>
    <col min="62" max="62" width="2.125" style="127" bestFit="1" customWidth="1"/>
    <col min="63" max="68" width="2.25" style="127" bestFit="1" customWidth="1"/>
    <col min="69" max="69" width="2.125" style="127" bestFit="1" customWidth="1"/>
    <col min="70" max="70" width="2.25" style="127" bestFit="1" customWidth="1"/>
    <col min="71" max="71" width="2.125" style="127" bestFit="1" customWidth="1"/>
    <col min="72" max="72" width="2.25" style="127" bestFit="1" customWidth="1"/>
    <col min="73" max="73" width="2.25" style="127" customWidth="1"/>
    <col min="74" max="76" width="2.625" style="127" bestFit="1" customWidth="1"/>
    <col min="77" max="77" width="2.625" style="127" customWidth="1"/>
    <col min="78" max="80" width="2.25" style="127" bestFit="1" customWidth="1"/>
    <col min="81" max="81" width="2.125" style="127" bestFit="1" customWidth="1"/>
    <col min="82" max="87" width="2.25" style="127" bestFit="1" customWidth="1"/>
    <col min="88" max="88" width="2.125" style="127" bestFit="1" customWidth="1"/>
    <col min="89" max="89" width="2.25" style="127" bestFit="1" customWidth="1"/>
    <col min="90" max="90" width="2.25" style="127" customWidth="1"/>
    <col min="91" max="94" width="2.625" style="127" bestFit="1" customWidth="1"/>
    <col min="95" max="104" width="7.25" style="89" customWidth="1"/>
    <col min="105" max="16384" width="9" style="89"/>
  </cols>
  <sheetData>
    <row r="1" spans="1:94" ht="26.65" customHeight="1" thickBot="1" x14ac:dyDescent="0.5">
      <c r="A1" s="725" t="s">
        <v>493</v>
      </c>
      <c r="B1" s="726"/>
      <c r="C1" s="726"/>
      <c r="D1" s="726"/>
      <c r="E1" s="726"/>
      <c r="F1" s="726"/>
      <c r="G1" s="726"/>
      <c r="H1" s="726"/>
      <c r="I1" s="726"/>
      <c r="J1" s="726"/>
      <c r="K1" s="726"/>
      <c r="L1" s="726"/>
      <c r="M1" s="726"/>
      <c r="N1" s="726"/>
      <c r="O1" s="726"/>
      <c r="P1" s="726"/>
      <c r="Q1" s="726"/>
      <c r="R1" s="726"/>
      <c r="S1" s="726"/>
      <c r="T1" s="726"/>
      <c r="U1" s="726"/>
      <c r="V1" s="726"/>
      <c r="W1" s="726"/>
      <c r="X1" s="726"/>
      <c r="Y1" s="726"/>
      <c r="Z1" s="726"/>
      <c r="AA1" s="726"/>
      <c r="AB1" s="726"/>
      <c r="AC1" s="726"/>
      <c r="AD1" s="726"/>
      <c r="AE1" s="726"/>
    </row>
    <row r="2" spans="1:94" s="90" customFormat="1" ht="19.5" thickTop="1" x14ac:dyDescent="0.3">
      <c r="A2" s="727" t="s">
        <v>469</v>
      </c>
      <c r="B2" s="728"/>
      <c r="C2" s="728"/>
      <c r="D2" s="728"/>
      <c r="E2" s="728"/>
      <c r="F2" s="728"/>
      <c r="G2" s="728"/>
      <c r="H2" s="728"/>
      <c r="I2" s="728"/>
      <c r="J2" s="728"/>
      <c r="K2" s="728"/>
      <c r="L2" s="728"/>
      <c r="M2" s="728"/>
      <c r="N2" s="728"/>
      <c r="O2" s="728"/>
      <c r="P2" s="728"/>
      <c r="Q2" s="728"/>
      <c r="R2" s="728"/>
      <c r="S2" s="728"/>
      <c r="T2" s="728"/>
      <c r="U2" s="728"/>
      <c r="V2" s="728"/>
      <c r="W2" s="728"/>
      <c r="X2" s="728"/>
      <c r="Y2" s="728"/>
      <c r="Z2" s="728"/>
      <c r="AA2" s="728"/>
      <c r="AB2" s="728"/>
      <c r="AC2" s="728"/>
      <c r="AD2" s="728"/>
      <c r="AE2" s="729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</row>
    <row r="3" spans="1:94" s="90" customFormat="1" ht="19.5" thickBot="1" x14ac:dyDescent="0.35">
      <c r="A3" s="309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2" t="s">
        <v>531</v>
      </c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</row>
    <row r="4" spans="1:94" s="91" customFormat="1" ht="12" thickTop="1" x14ac:dyDescent="0.2">
      <c r="A4" s="730" t="s">
        <v>188</v>
      </c>
      <c r="B4" s="733" t="s">
        <v>299</v>
      </c>
      <c r="C4" s="463" t="s">
        <v>300</v>
      </c>
      <c r="D4" s="464" t="s">
        <v>31</v>
      </c>
      <c r="E4" s="464" t="s">
        <v>21</v>
      </c>
      <c r="F4" s="464" t="s">
        <v>148</v>
      </c>
      <c r="G4" s="464" t="s">
        <v>121</v>
      </c>
      <c r="H4" s="464" t="s">
        <v>116</v>
      </c>
      <c r="I4" s="464" t="s">
        <v>196</v>
      </c>
      <c r="J4" s="464" t="s">
        <v>197</v>
      </c>
      <c r="K4" s="464" t="s">
        <v>198</v>
      </c>
      <c r="L4" s="464" t="s">
        <v>18</v>
      </c>
      <c r="M4" s="464" t="s">
        <v>24</v>
      </c>
      <c r="N4" s="464" t="s">
        <v>142</v>
      </c>
      <c r="O4" s="464" t="s">
        <v>124</v>
      </c>
      <c r="P4" s="464" t="s">
        <v>138</v>
      </c>
      <c r="Q4" s="464" t="s">
        <v>201</v>
      </c>
      <c r="R4" s="464" t="s">
        <v>202</v>
      </c>
      <c r="S4" s="464" t="s">
        <v>203</v>
      </c>
      <c r="T4" s="464" t="s">
        <v>204</v>
      </c>
      <c r="U4" s="464" t="s">
        <v>304</v>
      </c>
      <c r="V4" s="464" t="s">
        <v>27</v>
      </c>
      <c r="W4" s="464" t="s">
        <v>30</v>
      </c>
      <c r="X4" s="464" t="s">
        <v>20</v>
      </c>
      <c r="Y4" s="464" t="s">
        <v>140</v>
      </c>
      <c r="Z4" s="464" t="s">
        <v>173</v>
      </c>
      <c r="AA4" s="464" t="s">
        <v>213</v>
      </c>
      <c r="AB4" s="464" t="s">
        <v>214</v>
      </c>
      <c r="AC4" s="464" t="s">
        <v>215</v>
      </c>
      <c r="AD4" s="464" t="s">
        <v>219</v>
      </c>
      <c r="AE4" s="465" t="s">
        <v>473</v>
      </c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</row>
    <row r="5" spans="1:94" s="91" customFormat="1" ht="11.25" x14ac:dyDescent="0.2">
      <c r="A5" s="731"/>
      <c r="B5" s="734"/>
      <c r="C5" s="238" t="s">
        <v>454</v>
      </c>
      <c r="D5" s="96">
        <v>1</v>
      </c>
      <c r="E5" s="96">
        <v>2</v>
      </c>
      <c r="F5" s="96">
        <v>3</v>
      </c>
      <c r="G5" s="96">
        <v>4</v>
      </c>
      <c r="H5" s="96">
        <v>5</v>
      </c>
      <c r="I5" s="96">
        <v>6</v>
      </c>
      <c r="J5" s="96">
        <v>11</v>
      </c>
      <c r="K5" s="96">
        <v>12</v>
      </c>
      <c r="L5" s="96">
        <v>26</v>
      </c>
      <c r="M5" s="96">
        <v>27</v>
      </c>
      <c r="N5" s="96">
        <v>28</v>
      </c>
      <c r="O5" s="96">
        <v>29</v>
      </c>
      <c r="P5" s="96">
        <v>30</v>
      </c>
      <c r="Q5" s="96">
        <v>31</v>
      </c>
      <c r="R5" s="96">
        <v>32</v>
      </c>
      <c r="S5" s="96">
        <v>33</v>
      </c>
      <c r="T5" s="96">
        <v>34</v>
      </c>
      <c r="U5" s="96">
        <v>35</v>
      </c>
      <c r="V5" s="96">
        <v>7</v>
      </c>
      <c r="W5" s="96">
        <v>8</v>
      </c>
      <c r="X5" s="96">
        <v>9</v>
      </c>
      <c r="Y5" s="96">
        <v>10</v>
      </c>
      <c r="Z5" s="96">
        <v>13</v>
      </c>
      <c r="AA5" s="96">
        <v>14</v>
      </c>
      <c r="AB5" s="96">
        <v>15</v>
      </c>
      <c r="AC5" s="96">
        <v>16</v>
      </c>
      <c r="AD5" s="226">
        <v>17</v>
      </c>
      <c r="AE5" s="177">
        <v>18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</row>
    <row r="6" spans="1:94" s="91" customFormat="1" ht="12.75" x14ac:dyDescent="0.2">
      <c r="A6" s="732"/>
      <c r="B6" s="735"/>
      <c r="C6" s="239" t="s">
        <v>114</v>
      </c>
      <c r="D6" s="449" t="s">
        <v>81</v>
      </c>
      <c r="E6" s="449" t="s">
        <v>95</v>
      </c>
      <c r="F6" s="449" t="s">
        <v>103</v>
      </c>
      <c r="G6" s="449" t="s">
        <v>59</v>
      </c>
      <c r="H6" s="449" t="s">
        <v>498</v>
      </c>
      <c r="I6" s="449" t="s">
        <v>68</v>
      </c>
      <c r="J6" s="449" t="s">
        <v>50</v>
      </c>
      <c r="K6" s="449" t="s">
        <v>51</v>
      </c>
      <c r="L6" s="448" t="s">
        <v>79</v>
      </c>
      <c r="M6" s="448" t="s">
        <v>220</v>
      </c>
      <c r="N6" s="448" t="s">
        <v>78</v>
      </c>
      <c r="O6" s="448" t="s">
        <v>13</v>
      </c>
      <c r="P6" s="448" t="s">
        <v>67</v>
      </c>
      <c r="Q6" s="448" t="s">
        <v>190</v>
      </c>
      <c r="R6" s="448" t="s">
        <v>73</v>
      </c>
      <c r="S6" s="448" t="s">
        <v>60</v>
      </c>
      <c r="T6" s="448" t="s">
        <v>53</v>
      </c>
      <c r="U6" s="448" t="s">
        <v>97</v>
      </c>
      <c r="V6" s="449" t="s">
        <v>66</v>
      </c>
      <c r="W6" s="449" t="s">
        <v>47</v>
      </c>
      <c r="X6" s="449" t="s">
        <v>74</v>
      </c>
      <c r="Y6" s="449" t="s">
        <v>45</v>
      </c>
      <c r="Z6" s="449" t="s">
        <v>69</v>
      </c>
      <c r="AA6" s="449" t="s">
        <v>91</v>
      </c>
      <c r="AB6" s="449" t="s">
        <v>61</v>
      </c>
      <c r="AC6" s="449" t="s">
        <v>90</v>
      </c>
      <c r="AD6" s="449" t="s">
        <v>58</v>
      </c>
      <c r="AE6" s="466" t="s">
        <v>85</v>
      </c>
      <c r="AF6" s="129" t="s">
        <v>13</v>
      </c>
      <c r="AG6" s="129" t="s">
        <v>45</v>
      </c>
      <c r="AH6" s="129" t="s">
        <v>46</v>
      </c>
      <c r="AI6" s="129" t="s">
        <v>47</v>
      </c>
      <c r="AJ6" s="129" t="s">
        <v>48</v>
      </c>
      <c r="AK6" s="129" t="s">
        <v>49</v>
      </c>
      <c r="AL6" s="129" t="s">
        <v>50</v>
      </c>
      <c r="AM6" s="129" t="s">
        <v>51</v>
      </c>
      <c r="AN6" s="129" t="s">
        <v>52</v>
      </c>
      <c r="AO6" s="129" t="s">
        <v>53</v>
      </c>
      <c r="AP6" s="129" t="s">
        <v>54</v>
      </c>
      <c r="AQ6" s="129" t="s">
        <v>55</v>
      </c>
      <c r="AR6" s="129" t="s">
        <v>56</v>
      </c>
      <c r="AS6" s="129" t="s">
        <v>236</v>
      </c>
      <c r="AT6" s="129" t="s">
        <v>57</v>
      </c>
      <c r="AU6" s="129" t="s">
        <v>58</v>
      </c>
      <c r="AV6" s="129" t="s">
        <v>59</v>
      </c>
      <c r="AW6" s="129" t="s">
        <v>60</v>
      </c>
      <c r="AX6" s="129" t="s">
        <v>61</v>
      </c>
      <c r="AY6" s="129" t="s">
        <v>62</v>
      </c>
      <c r="AZ6" s="129" t="s">
        <v>63</v>
      </c>
      <c r="BA6" s="129" t="s">
        <v>64</v>
      </c>
      <c r="BB6" s="129" t="s">
        <v>66</v>
      </c>
      <c r="BC6" s="129" t="s">
        <v>67</v>
      </c>
      <c r="BD6" s="129" t="s">
        <v>68</v>
      </c>
      <c r="BE6" s="129" t="s">
        <v>69</v>
      </c>
      <c r="BF6" s="129" t="s">
        <v>70</v>
      </c>
      <c r="BG6" s="129" t="s">
        <v>72</v>
      </c>
      <c r="BH6" s="129" t="s">
        <v>73</v>
      </c>
      <c r="BI6" s="129" t="s">
        <v>74</v>
      </c>
      <c r="BJ6" s="129" t="s">
        <v>75</v>
      </c>
      <c r="BK6" s="129" t="s">
        <v>76</v>
      </c>
      <c r="BL6" s="129" t="s">
        <v>77</v>
      </c>
      <c r="BM6" s="129" t="s">
        <v>78</v>
      </c>
      <c r="BN6" s="129" t="s">
        <v>79</v>
      </c>
      <c r="BO6" s="129" t="s">
        <v>80</v>
      </c>
      <c r="BP6" s="129" t="s">
        <v>81</v>
      </c>
      <c r="BQ6" s="129" t="s">
        <v>189</v>
      </c>
      <c r="BR6" s="129" t="s">
        <v>82</v>
      </c>
      <c r="BS6" s="129" t="s">
        <v>87</v>
      </c>
      <c r="BT6" s="129" t="s">
        <v>88</v>
      </c>
      <c r="BU6" s="129" t="s">
        <v>425</v>
      </c>
      <c r="BV6" s="129" t="s">
        <v>83</v>
      </c>
      <c r="BW6" s="129" t="s">
        <v>85</v>
      </c>
      <c r="BX6" s="129" t="s">
        <v>86</v>
      </c>
      <c r="BY6" s="129" t="s">
        <v>498</v>
      </c>
      <c r="BZ6" s="129" t="s">
        <v>90</v>
      </c>
      <c r="CA6" s="129" t="s">
        <v>91</v>
      </c>
      <c r="CB6" s="129" t="s">
        <v>92</v>
      </c>
      <c r="CC6" s="129" t="s">
        <v>220</v>
      </c>
      <c r="CD6" s="129" t="s">
        <v>93</v>
      </c>
      <c r="CE6" s="129" t="s">
        <v>190</v>
      </c>
      <c r="CF6" s="129" t="s">
        <v>94</v>
      </c>
      <c r="CG6" s="129" t="s">
        <v>95</v>
      </c>
      <c r="CH6" s="129" t="s">
        <v>96</v>
      </c>
      <c r="CI6" s="129" t="s">
        <v>97</v>
      </c>
      <c r="CJ6" s="129" t="s">
        <v>98</v>
      </c>
      <c r="CK6" s="129" t="s">
        <v>100</v>
      </c>
      <c r="CL6" s="129" t="s">
        <v>424</v>
      </c>
      <c r="CM6" s="129" t="s">
        <v>101</v>
      </c>
      <c r="CN6" s="129" t="s">
        <v>102</v>
      </c>
      <c r="CO6" s="129" t="s">
        <v>103</v>
      </c>
      <c r="CP6" s="129" t="s">
        <v>104</v>
      </c>
    </row>
    <row r="7" spans="1:94" s="90" customFormat="1" ht="15.75" customHeight="1" x14ac:dyDescent="0.3">
      <c r="A7" s="736">
        <v>2</v>
      </c>
      <c r="B7" s="92">
        <v>1</v>
      </c>
      <c r="C7" s="240" t="s">
        <v>301</v>
      </c>
      <c r="D7" s="491" t="s">
        <v>467</v>
      </c>
      <c r="E7" s="393" t="s">
        <v>467</v>
      </c>
      <c r="F7" s="393" t="s">
        <v>467</v>
      </c>
      <c r="G7" s="393" t="s">
        <v>467</v>
      </c>
      <c r="H7" s="393" t="s">
        <v>467</v>
      </c>
      <c r="I7" s="393" t="s">
        <v>467</v>
      </c>
      <c r="J7" s="393" t="s">
        <v>467</v>
      </c>
      <c r="K7" s="393" t="s">
        <v>467</v>
      </c>
      <c r="L7" s="393" t="s">
        <v>467</v>
      </c>
      <c r="M7" s="393" t="s">
        <v>467</v>
      </c>
      <c r="N7" s="393" t="s">
        <v>467</v>
      </c>
      <c r="O7" s="393" t="s">
        <v>467</v>
      </c>
      <c r="P7" s="393" t="s">
        <v>467</v>
      </c>
      <c r="Q7" s="393" t="s">
        <v>467</v>
      </c>
      <c r="R7" s="393" t="s">
        <v>467</v>
      </c>
      <c r="S7" s="393" t="s">
        <v>467</v>
      </c>
      <c r="T7" s="393" t="s">
        <v>467</v>
      </c>
      <c r="U7" s="393" t="s">
        <v>467</v>
      </c>
      <c r="V7" s="393" t="s">
        <v>467</v>
      </c>
      <c r="W7" s="393" t="s">
        <v>467</v>
      </c>
      <c r="X7" s="393" t="s">
        <v>467</v>
      </c>
      <c r="Y7" s="393" t="s">
        <v>467</v>
      </c>
      <c r="Z7" s="393" t="s">
        <v>467</v>
      </c>
      <c r="AA7" s="393" t="s">
        <v>467</v>
      </c>
      <c r="AB7" s="393" t="s">
        <v>467</v>
      </c>
      <c r="AC7" s="393" t="s">
        <v>467</v>
      </c>
      <c r="AD7" s="393" t="s">
        <v>467</v>
      </c>
      <c r="AE7" s="394" t="s">
        <v>467</v>
      </c>
      <c r="AF7" s="130" t="str">
        <f t="shared" ref="AF7:AF12" si="0">IF(COUNTIF($D7:$AD7,"T2")&gt;=1,COUNTIF($D7:$AD7,"T2"),"")</f>
        <v/>
      </c>
      <c r="AG7" s="130" t="str">
        <f>IF(COUNTIF($D7:$AD7,"T3")&gt;=1,COUNTIF($D7:$AD7,"T3"),"")</f>
        <v/>
      </c>
      <c r="AH7" s="130" t="str">
        <f>IF(COUNTIF($D7:$AD7,"T4")&gt;=1,COUNTIF($D7:$AD7,"T4"),"")</f>
        <v/>
      </c>
      <c r="AI7" s="130" t="str">
        <f>IF(COUNTIF($D7:$AD7,"T5")&gt;=1,COUNTIF($D7:$AD7,"T5"),"")</f>
        <v/>
      </c>
      <c r="AJ7" s="130" t="str">
        <f>IF(COUNTIF($D7:$AD7,"TT1")&gt;=1,COUNTIF($D7:$AD7,"TT1"),"")</f>
        <v/>
      </c>
      <c r="AK7" s="130" t="str">
        <f t="shared" ref="AK7:AK34" si="1">IF(COUNTIF($D7:$AE7,"TT2")&gt;=1,COUNTIF($D7:$AE7,"TT2"),"")</f>
        <v/>
      </c>
      <c r="AL7" s="130" t="str">
        <f t="shared" ref="AL7:AL34" si="2">IF(COUNTIF($D7:$AE7,"TT3")&gt;=1,COUNTIF($D7:$AE7,"TT3"),"")</f>
        <v/>
      </c>
      <c r="AM7" s="130" t="str">
        <f t="shared" ref="AM7:AM34" si="3">IF(COUNTIF($D7:$AE7,"TT4")&gt;=1,COUNTIF($D7:$AE7,"TT4"),"")</f>
        <v/>
      </c>
      <c r="AN7" s="130" t="str">
        <f t="shared" ref="AN7:AN29" si="4">IF(COUNTIF($D7:$AE7,"TT5")&gt;=1,COUNTIF($D7:$AE7,"TT5"),"")</f>
        <v/>
      </c>
      <c r="AO7" s="130" t="str">
        <f t="shared" ref="AO7:AO34" si="5">IF(COUNTIF($D7:$AE7,"TT6")&gt;=1,COUNTIF($D7:$AE7,"TT6"),"")</f>
        <v/>
      </c>
      <c r="AP7" s="130" t="str">
        <f t="shared" ref="AP7:AP34" si="6">IF(COUNTIF($D7:$AE7,"TT7")&gt;=1,COUNTIF($D7:$AE7,"TT7"),"")</f>
        <v/>
      </c>
      <c r="AQ7" s="130" t="str">
        <f t="shared" ref="AQ7:AQ34" si="7">IF(COUNTIF($D7:$AE7,"TT9")&gt;=1,COUNTIF($D7:$AE7,"TT9"),"")</f>
        <v/>
      </c>
      <c r="AR7" s="130" t="str">
        <f t="shared" ref="AR7:AR34" si="8">IF(COUNTIF($D7:$AE7,"Tn3")&gt;=1,COUNTIF($D7:$AE7,"Tn3"),"")</f>
        <v/>
      </c>
      <c r="AS7" s="130" t="str">
        <f t="shared" ref="AS7:AS34" si="9">IF(COUNTIF($D7:$AE7,"Tn4")&gt;=1,COUNTIF($D7:$AE7,"Tn4"),"")</f>
        <v/>
      </c>
      <c r="AT7" s="130" t="str">
        <f t="shared" ref="AT7:AT34" si="10">IF(COUNTIF($D7:$AE7,"LC2")&gt;=1,COUNTIF($D7:$AE7,"LC2"),"")</f>
        <v/>
      </c>
      <c r="AU7" s="130" t="str">
        <f t="shared" ref="AU7:AU34" si="11">IF(COUNTIF($D7:$AE7,"LC3")&gt;=1,COUNTIF($D7:$AE7,"LC3"),"")</f>
        <v/>
      </c>
      <c r="AV7" s="130" t="str">
        <f t="shared" ref="AV7:AV34" si="12">IF(COUNTIF($D7:$AE7,"LC4")&gt;=1,COUNTIF($D7:$AE7,"LC4"),"")</f>
        <v/>
      </c>
      <c r="AW7" s="130" t="str">
        <f t="shared" ref="AW7:AW34" si="13">IF(COUNTIF($D7:$AE7,"LC5")&gt;=1,COUNTIF($D7:$AE7,"LC5"),"")</f>
        <v/>
      </c>
      <c r="AX7" s="130" t="str">
        <f t="shared" ref="AX7:AX34" si="14">IF(COUNTIF($D7:$AE7,"LC6")&gt;=1,COUNTIF($D7:$AE7,"LC6"),"")</f>
        <v/>
      </c>
      <c r="AY7" s="130" t="str">
        <f t="shared" ref="AY7:AY34" si="15">IF(COUNTIF($D7:$AE7,"LC7")&gt;=1,COUNTIF($D7:$AE7,"LC7"),"")</f>
        <v/>
      </c>
      <c r="AZ7" s="130" t="str">
        <f t="shared" ref="AZ7:AZ34" si="16">IF(COUNTIF($D7:$AE7,"LC8")&gt;=1,COUNTIF($D7:$AE7,"LC8"),"")</f>
        <v/>
      </c>
      <c r="BA7" s="130" t="str">
        <f t="shared" ref="BA7:BA34" si="17">IF(COUNTIF($D7:$AE7,"H1")&gt;=1,COUNTIF($D7:$AE7,"H1"),"")</f>
        <v/>
      </c>
      <c r="BB7" s="130" t="str">
        <f t="shared" ref="BB7:BB34" si="18">IF(COUNTIF($D7:$AE7,"H2")&gt;=1,COUNTIF($D7:$AE7,"H2"),"")</f>
        <v/>
      </c>
      <c r="BC7" s="130" t="str">
        <f t="shared" ref="BC7:BC34" si="19">IF(COUNTIF($D7:$AE7,"H3")&gt;=1,COUNTIF($D7:$AE7,"H3"),"")</f>
        <v/>
      </c>
      <c r="BD7" s="130" t="str">
        <f t="shared" ref="BD7:BD34" si="20">IF(COUNTIF($D7:$AE7,"H4")&gt;=1,COUNTIF($D7:$AE7,"H4"),"")</f>
        <v/>
      </c>
      <c r="BE7" s="130" t="str">
        <f t="shared" ref="BE7:BE34" si="21">IF(COUNTIF($D7:$AE7,"H5")&gt;=1,COUNTIF($D7:$AE7,"H5"),"")</f>
        <v/>
      </c>
      <c r="BF7" s="130" t="str">
        <f t="shared" ref="BF7:BF34" si="22">IF(COUNTIF($D7:$AE7,"SN1")&gt;=1,COUNTIF($D7:$AE7,"SN1"),"")</f>
        <v/>
      </c>
      <c r="BG7" s="130" t="str">
        <f t="shared" ref="BG7:BG34" si="23">IF(COUNTIF($D7:$AE7,"SN2")&gt;=1,COUNTIF($D7:$AE7,"SN2"),"")</f>
        <v/>
      </c>
      <c r="BH7" s="130" t="str">
        <f t="shared" ref="BH7:BH34" si="24">IF(COUNTIF($D7:$AE7,"SN3")&gt;=1,COUNTIF($D7:$AE7,"SN3"),"")</f>
        <v/>
      </c>
      <c r="BI7" s="130" t="str">
        <f t="shared" ref="BI7:BI34" si="25">IF(COUNTIF($D7:$AE7,"SN4")&gt;=1,COUNTIF($D7:$AE7,"SN4"),"")</f>
        <v/>
      </c>
      <c r="BJ7" s="130" t="str">
        <f t="shared" ref="BJ7:BJ34" si="26">IF(COUNTIF($D7:$AE7,"V1")&gt;=1,COUNTIF($D7:$AE7,"V1"),"")</f>
        <v/>
      </c>
      <c r="BK7" s="130" t="str">
        <f t="shared" ref="BK7:BK34" si="27">IF(COUNTIF($D7:$AE7,"V2")&gt;=1,COUNTIF($D7:$AE7,"V2"),"")</f>
        <v/>
      </c>
      <c r="BL7" s="130" t="str">
        <f t="shared" ref="BL7:BL34" si="28">IF(COUNTIF($D7:$AE7,"V3")&gt;=1,COUNTIF($D7:$AE7,"V3"),"")</f>
        <v/>
      </c>
      <c r="BM7" s="130" t="str">
        <f t="shared" ref="BM7:BM34" si="29">IF(COUNTIF($D7:$AE7,"V4")&gt;=1,COUNTIF($D7:$AE7,"V4"),"")</f>
        <v/>
      </c>
      <c r="BN7" s="130" t="str">
        <f t="shared" ref="BN7:BN34" si="30">IF(COUNTIF($D7:$AE7,"V5")&gt;=1,COUNTIF($D7:$AE7,"V5"),"")</f>
        <v/>
      </c>
      <c r="BO7" s="130" t="str">
        <f t="shared" ref="BO7:BO34" si="31">IF(COUNTIF($D7:$AE7,"V6")&gt;=1,COUNTIF($D7:$AE7,"V6"),"")</f>
        <v/>
      </c>
      <c r="BP7" s="130" t="str">
        <f t="shared" ref="BP7:BP34" si="32">IF(COUNTIF($D7:$AE7,"V7")&gt;=1,COUNTIF($D7:$AE7,"V7"),"")</f>
        <v/>
      </c>
      <c r="BQ7" s="130" t="str">
        <f t="shared" ref="BQ7:BQ34" si="33">IF(COUNTIF($D7:$AE7,"V8")&gt;=1,COUNTIF($D7:$AE7,"V8"),"")</f>
        <v/>
      </c>
      <c r="BR7" s="130" t="str">
        <f t="shared" ref="BR7:BR34" si="34">IF(COUNTIF($D7:$AE7,"V9")&gt;=1,COUNTIF($D7:$AE7,"V9"),"")</f>
        <v/>
      </c>
      <c r="BS7" s="130" t="str">
        <f t="shared" ref="BS7:BS34" si="35">IF(COUNTIF($D7:$AE7,"G1")&gt;=1,COUNTIF($D7:$AE7,"G1"),"")</f>
        <v/>
      </c>
      <c r="BT7" s="130" t="str">
        <f t="shared" ref="BT7:BT34" si="36">IF(COUNTIF($D7:$AE7,"G2")&gt;=1,COUNTIF($D7:$AE7,"G2"),"")</f>
        <v/>
      </c>
      <c r="BU7" s="130" t="str">
        <f t="shared" ref="BU7:BU34" si="37">IF(COUNTIF($D7:$AE7,"G3")&gt;=1,COUNTIF($D7:$AE7,"G3"),"")</f>
        <v/>
      </c>
      <c r="BV7" s="130" t="str">
        <f t="shared" ref="BV7:BV34" si="38">IF(COUNTIF($D7:$AE7,"SG1")&gt;=1,COUNTIF($D7:$AE7,"SG1"),"")</f>
        <v/>
      </c>
      <c r="BW7" s="130" t="str">
        <f t="shared" ref="BW7:BW34" si="39">IF(COUNTIF($D7:$AE7,"SG2")&gt;=1,COUNTIF($D7:$AE7,"SG2"),"")</f>
        <v/>
      </c>
      <c r="BX7" s="130" t="str">
        <f t="shared" ref="BX7:BX34" si="40">IF(COUNTIF($D7:$AE7,"SG3")&gt;=1,COUNTIF($D7:$AE7,"SG3"),"")</f>
        <v/>
      </c>
      <c r="BY7" s="130" t="str">
        <f t="shared" ref="BY7:BY34" si="41">IF(COUNTIF($D7:$AE7,"Sg4")&gt;=1,COUNTIF($D7:$AE7,"Sg4"),"")</f>
        <v/>
      </c>
      <c r="BZ7" s="130" t="str">
        <f t="shared" ref="BZ7:BZ34" si="42">IF(COUNTIF($D7:$AE7,"D2")&gt;=1,COUNTIF($D7:$AE7,"D2"),"")</f>
        <v/>
      </c>
      <c r="CA7" s="130" t="str">
        <f t="shared" ref="CA7:CA34" si="43">IF(COUNTIF($D7:$AE7,"D3")&gt;=1,COUNTIF($D7:$AE7,"D3"),"")</f>
        <v/>
      </c>
      <c r="CB7" s="130" t="str">
        <f t="shared" ref="CB7:CB34" si="44">IF(COUNTIF($D7:$AE7,"D4")&gt;=1,COUNTIF($D7:$AE7,"D4"),"")</f>
        <v/>
      </c>
      <c r="CC7" s="130" t="str">
        <f t="shared" ref="CC7:CC34" si="45">IF(COUNTIF($D7:$AE7,"D5")&gt;=1,COUNTIF($D7:$AE7,"D5"),"")</f>
        <v/>
      </c>
      <c r="CD7" s="130" t="str">
        <f t="shared" ref="CD7:CD34" si="46">IF(COUNTIF($D7:$AE7,"A1")&gt;=1,COUNTIF($D7:$AE7,"A1"),"")</f>
        <v/>
      </c>
      <c r="CE7" s="130" t="str">
        <f t="shared" ref="CE7:CE34" si="47">IF(COUNTIF($D7:$AE7,"A2")&gt;=1,COUNTIF($D7:$AE7,"A2"),"")</f>
        <v/>
      </c>
      <c r="CF7" s="130" t="str">
        <f t="shared" ref="CF7:CF34" si="48">IF(COUNTIF($D7:$AE7,"A3")&gt;=1,COUNTIF($D7:$AE7,"A3"),"")</f>
        <v/>
      </c>
      <c r="CG7" s="130" t="str">
        <f t="shared" ref="CG7:CG34" si="49">IF(COUNTIF($D7:$AE7,"A4")&gt;=1,COUNTIF($D7:$AE7,"A4"),"")</f>
        <v/>
      </c>
      <c r="CH7" s="130" t="str">
        <f t="shared" ref="CH7:CH34" si="50">IF(COUNTIF($D7:$AE7,"A5")&gt;=1,COUNTIF($D7:$AE7,"A5"),"")</f>
        <v/>
      </c>
      <c r="CI7" s="130" t="str">
        <f t="shared" ref="CI7:CI34" si="51">IF(COUNTIF($D7:$AE7,"A6")&gt;=1,COUNTIF($D7:$AE7,"A6"),"")</f>
        <v/>
      </c>
      <c r="CJ7" s="130" t="str">
        <f t="shared" ref="CJ7:CJ34" si="52">IF(COUNTIF($D7:$AE7,"Q1")&gt;=1,COUNTIF($D7:$AE7,"Q1"),"")</f>
        <v/>
      </c>
      <c r="CK7" s="130" t="str">
        <f t="shared" ref="CK7:CK34" si="53">IF(COUNTIF($D7:$AE7,"Q2")&gt;=1,COUNTIF($D7:$AE7,"Q2"),"")</f>
        <v/>
      </c>
      <c r="CL7" s="130" t="str">
        <f t="shared" ref="CL7:CL34" si="54">IF(COUNTIF($D7:$AE7,"Q3")&gt;=1,COUNTIF($D7:$AE7,"Q3"),"")</f>
        <v/>
      </c>
      <c r="CM7" s="130" t="str">
        <f t="shared" ref="CM7:CM34" si="55">IF(COUNTIF($D7:$AE7,"TQ1")&gt;=1,COUNTIF($D7:$AE7,"TQ1"),"")</f>
        <v/>
      </c>
      <c r="CN7" s="130" t="str">
        <f t="shared" ref="CN7:CN34" si="56">IF(COUNTIF($D7:$AE7,"TQ3")&gt;=1,COUNTIF($D7:$AE7,"TQ3"),"")</f>
        <v/>
      </c>
      <c r="CO7" s="130" t="str">
        <f t="shared" ref="CO7:CO34" si="57">IF(COUNTIF($D7:$AE7,"TQ4")&gt;=1,COUNTIF($D7:$AE7,"TQ4"),"")</f>
        <v/>
      </c>
      <c r="CP7" s="130" t="str">
        <f t="shared" ref="CP7:CP34" si="58">IF(COUNTIF($D7:$AE7,"TQ5")&gt;=1,COUNTIF($D7:$AE7,"TQ5"),"")</f>
        <v/>
      </c>
    </row>
    <row r="8" spans="1:94" s="90" customFormat="1" ht="16.149999999999999" customHeight="1" x14ac:dyDescent="0.3">
      <c r="A8" s="737"/>
      <c r="B8" s="93">
        <v>2</v>
      </c>
      <c r="C8" s="241" t="s">
        <v>302</v>
      </c>
      <c r="D8" s="492" t="s">
        <v>86</v>
      </c>
      <c r="E8" s="492" t="s">
        <v>77</v>
      </c>
      <c r="F8" s="492" t="s">
        <v>81</v>
      </c>
      <c r="G8" s="492" t="s">
        <v>498</v>
      </c>
      <c r="H8" s="492" t="s">
        <v>94</v>
      </c>
      <c r="I8" s="492" t="s">
        <v>68</v>
      </c>
      <c r="J8" s="492" t="s">
        <v>50</v>
      </c>
      <c r="K8" s="492" t="s">
        <v>96</v>
      </c>
      <c r="L8" s="492" t="s">
        <v>79</v>
      </c>
      <c r="M8" s="492" t="s">
        <v>78</v>
      </c>
      <c r="N8" s="492" t="s">
        <v>95</v>
      </c>
      <c r="O8" s="492" t="s">
        <v>59</v>
      </c>
      <c r="P8" s="492" t="s">
        <v>48</v>
      </c>
      <c r="Q8" s="492" t="s">
        <v>51</v>
      </c>
      <c r="R8" s="492" t="s">
        <v>97</v>
      </c>
      <c r="S8" s="492" t="s">
        <v>60</v>
      </c>
      <c r="T8" s="492" t="s">
        <v>190</v>
      </c>
      <c r="U8" s="492" t="s">
        <v>53</v>
      </c>
      <c r="V8" s="492" t="s">
        <v>61</v>
      </c>
      <c r="W8" s="492" t="s">
        <v>518</v>
      </c>
      <c r="X8" s="492" t="s">
        <v>66</v>
      </c>
      <c r="Y8" s="492" t="s">
        <v>45</v>
      </c>
      <c r="Z8" s="492" t="s">
        <v>88</v>
      </c>
      <c r="AA8" s="492" t="s">
        <v>91</v>
      </c>
      <c r="AB8" s="492" t="s">
        <v>47</v>
      </c>
      <c r="AC8" s="492" t="s">
        <v>62</v>
      </c>
      <c r="AD8" s="492" t="s">
        <v>220</v>
      </c>
      <c r="AE8" s="493" t="s">
        <v>90</v>
      </c>
      <c r="AF8" s="130" t="str">
        <f t="shared" si="0"/>
        <v/>
      </c>
      <c r="AG8" s="130">
        <f t="shared" ref="AG8:AG34" si="59">IF(COUNTIF($D8:$AE8,"T3")&gt;=1,COUNTIF($D8:$AE8,"T3"),"")</f>
        <v>1</v>
      </c>
      <c r="AH8" s="130" t="str">
        <f t="shared" ref="AH8:AH34" si="60">IF(COUNTIF($D8:$AE8,"T4")&gt;=1,COUNTIF($D8:$AE8,"T4"),"")</f>
        <v/>
      </c>
      <c r="AI8" s="130">
        <f t="shared" ref="AI8:AI34" si="61">IF(COUNTIF($D8:$AE8,"T5")&gt;=1,COUNTIF($D8:$AE8,"T5"),"")</f>
        <v>1</v>
      </c>
      <c r="AJ8" s="130">
        <f t="shared" ref="AJ8:AJ34" si="62">IF(COUNTIF($D8:$AE8,"TT1")&gt;=1,COUNTIF($D8:$AE8,"TT1"),"")</f>
        <v>1</v>
      </c>
      <c r="AK8" s="130" t="str">
        <f t="shared" si="1"/>
        <v/>
      </c>
      <c r="AL8" s="130">
        <f t="shared" si="2"/>
        <v>1</v>
      </c>
      <c r="AM8" s="130">
        <f t="shared" si="3"/>
        <v>1</v>
      </c>
      <c r="AN8" s="130" t="str">
        <f t="shared" si="4"/>
        <v/>
      </c>
      <c r="AO8" s="130">
        <f t="shared" si="5"/>
        <v>1</v>
      </c>
      <c r="AP8" s="130" t="str">
        <f t="shared" si="6"/>
        <v/>
      </c>
      <c r="AQ8" s="130" t="str">
        <f t="shared" si="7"/>
        <v/>
      </c>
      <c r="AR8" s="130" t="str">
        <f t="shared" si="8"/>
        <v/>
      </c>
      <c r="AS8" s="130" t="str">
        <f t="shared" si="9"/>
        <v/>
      </c>
      <c r="AT8" s="130" t="str">
        <f t="shared" si="10"/>
        <v/>
      </c>
      <c r="AU8" s="130" t="str">
        <f t="shared" si="11"/>
        <v/>
      </c>
      <c r="AV8" s="130">
        <f t="shared" si="12"/>
        <v>1</v>
      </c>
      <c r="AW8" s="130">
        <f t="shared" si="13"/>
        <v>1</v>
      </c>
      <c r="AX8" s="130">
        <f t="shared" si="14"/>
        <v>1</v>
      </c>
      <c r="AY8" s="130">
        <f t="shared" si="15"/>
        <v>1</v>
      </c>
      <c r="AZ8" s="130" t="str">
        <f t="shared" si="16"/>
        <v/>
      </c>
      <c r="BA8" s="130" t="str">
        <f t="shared" si="17"/>
        <v/>
      </c>
      <c r="BB8" s="130">
        <f t="shared" si="18"/>
        <v>1</v>
      </c>
      <c r="BC8" s="130" t="str">
        <f t="shared" si="19"/>
        <v/>
      </c>
      <c r="BD8" s="130">
        <f t="shared" si="20"/>
        <v>1</v>
      </c>
      <c r="BE8" s="130" t="str">
        <f t="shared" si="21"/>
        <v/>
      </c>
      <c r="BF8" s="130" t="str">
        <f t="shared" si="22"/>
        <v/>
      </c>
      <c r="BG8" s="130" t="str">
        <f t="shared" si="23"/>
        <v/>
      </c>
      <c r="BH8" s="130" t="str">
        <f t="shared" si="24"/>
        <v/>
      </c>
      <c r="BI8" s="130" t="str">
        <f t="shared" si="25"/>
        <v/>
      </c>
      <c r="BJ8" s="130" t="str">
        <f t="shared" si="26"/>
        <v/>
      </c>
      <c r="BK8" s="130" t="str">
        <f t="shared" si="27"/>
        <v/>
      </c>
      <c r="BL8" s="130">
        <f t="shared" si="28"/>
        <v>1</v>
      </c>
      <c r="BM8" s="130">
        <f t="shared" si="29"/>
        <v>1</v>
      </c>
      <c r="BN8" s="130">
        <f t="shared" si="30"/>
        <v>1</v>
      </c>
      <c r="BO8" s="130" t="str">
        <f t="shared" si="31"/>
        <v/>
      </c>
      <c r="BP8" s="130">
        <f t="shared" si="32"/>
        <v>1</v>
      </c>
      <c r="BQ8" s="130" t="str">
        <f t="shared" si="33"/>
        <v/>
      </c>
      <c r="BR8" s="130" t="str">
        <f t="shared" si="34"/>
        <v/>
      </c>
      <c r="BS8" s="130" t="str">
        <f t="shared" si="35"/>
        <v/>
      </c>
      <c r="BT8" s="130">
        <f t="shared" si="36"/>
        <v>1</v>
      </c>
      <c r="BU8" s="130" t="str">
        <f t="shared" si="37"/>
        <v/>
      </c>
      <c r="BV8" s="130" t="str">
        <f t="shared" si="38"/>
        <v/>
      </c>
      <c r="BW8" s="130" t="str">
        <f t="shared" si="39"/>
        <v/>
      </c>
      <c r="BX8" s="130">
        <f t="shared" si="40"/>
        <v>1</v>
      </c>
      <c r="BY8" s="130">
        <f t="shared" si="41"/>
        <v>1</v>
      </c>
      <c r="BZ8" s="130">
        <f t="shared" si="42"/>
        <v>1</v>
      </c>
      <c r="CA8" s="130">
        <f t="shared" si="43"/>
        <v>1</v>
      </c>
      <c r="CB8" s="130" t="str">
        <f t="shared" si="44"/>
        <v/>
      </c>
      <c r="CC8" s="130">
        <f t="shared" si="45"/>
        <v>1</v>
      </c>
      <c r="CD8" s="130" t="str">
        <f t="shared" si="46"/>
        <v/>
      </c>
      <c r="CE8" s="130">
        <f t="shared" si="47"/>
        <v>1</v>
      </c>
      <c r="CF8" s="130">
        <f t="shared" si="48"/>
        <v>1</v>
      </c>
      <c r="CG8" s="130">
        <f t="shared" si="49"/>
        <v>1</v>
      </c>
      <c r="CH8" s="130">
        <f t="shared" si="50"/>
        <v>1</v>
      </c>
      <c r="CI8" s="130">
        <f t="shared" si="51"/>
        <v>1</v>
      </c>
      <c r="CJ8" s="130" t="str">
        <f t="shared" si="52"/>
        <v/>
      </c>
      <c r="CK8" s="130" t="str">
        <f t="shared" si="53"/>
        <v/>
      </c>
      <c r="CL8" s="130" t="str">
        <f t="shared" si="54"/>
        <v/>
      </c>
      <c r="CM8" s="130" t="str">
        <f t="shared" si="55"/>
        <v/>
      </c>
      <c r="CN8" s="130" t="str">
        <f t="shared" si="56"/>
        <v/>
      </c>
      <c r="CO8" s="130" t="str">
        <f t="shared" si="57"/>
        <v/>
      </c>
      <c r="CP8" s="130" t="str">
        <f t="shared" si="58"/>
        <v/>
      </c>
    </row>
    <row r="9" spans="1:94" s="90" customFormat="1" ht="16.149999999999999" customHeight="1" x14ac:dyDescent="0.3">
      <c r="A9" s="737"/>
      <c r="B9" s="93">
        <v>3</v>
      </c>
      <c r="C9" s="241" t="s">
        <v>343</v>
      </c>
      <c r="D9" s="492" t="s">
        <v>13</v>
      </c>
      <c r="E9" s="492" t="s">
        <v>95</v>
      </c>
      <c r="F9" s="492" t="s">
        <v>94</v>
      </c>
      <c r="G9" s="492" t="s">
        <v>50</v>
      </c>
      <c r="H9" s="492" t="s">
        <v>498</v>
      </c>
      <c r="I9" s="492" t="s">
        <v>48</v>
      </c>
      <c r="J9" s="492" t="s">
        <v>67</v>
      </c>
      <c r="K9" s="492" t="s">
        <v>51</v>
      </c>
      <c r="L9" s="492" t="s">
        <v>92</v>
      </c>
      <c r="M9" s="492" t="s">
        <v>85</v>
      </c>
      <c r="N9" s="492" t="s">
        <v>60</v>
      </c>
      <c r="O9" s="492" t="s">
        <v>59</v>
      </c>
      <c r="P9" s="492" t="s">
        <v>79</v>
      </c>
      <c r="Q9" s="492" t="s">
        <v>190</v>
      </c>
      <c r="R9" s="492" t="s">
        <v>518</v>
      </c>
      <c r="S9" s="492" t="s">
        <v>519</v>
      </c>
      <c r="T9" s="492" t="s">
        <v>520</v>
      </c>
      <c r="U9" s="492" t="s">
        <v>97</v>
      </c>
      <c r="V9" s="492" t="s">
        <v>73</v>
      </c>
      <c r="W9" s="492" t="s">
        <v>521</v>
      </c>
      <c r="X9" s="492" t="s">
        <v>66</v>
      </c>
      <c r="Y9" s="492" t="s">
        <v>62</v>
      </c>
      <c r="Z9" s="492" t="s">
        <v>86</v>
      </c>
      <c r="AA9" s="492" t="s">
        <v>91</v>
      </c>
      <c r="AB9" s="492" t="s">
        <v>47</v>
      </c>
      <c r="AC9" s="492" t="s">
        <v>90</v>
      </c>
      <c r="AD9" s="492" t="s">
        <v>220</v>
      </c>
      <c r="AE9" s="493" t="s">
        <v>88</v>
      </c>
      <c r="AF9" s="130">
        <f t="shared" si="0"/>
        <v>1</v>
      </c>
      <c r="AG9" s="130" t="str">
        <f t="shared" si="59"/>
        <v/>
      </c>
      <c r="AH9" s="130" t="str">
        <f t="shared" si="60"/>
        <v/>
      </c>
      <c r="AI9" s="130">
        <f t="shared" si="61"/>
        <v>1</v>
      </c>
      <c r="AJ9" s="130">
        <f t="shared" si="62"/>
        <v>1</v>
      </c>
      <c r="AK9" s="130" t="str">
        <f t="shared" si="1"/>
        <v/>
      </c>
      <c r="AL9" s="130">
        <f t="shared" si="2"/>
        <v>1</v>
      </c>
      <c r="AM9" s="130">
        <f t="shared" si="3"/>
        <v>1</v>
      </c>
      <c r="AN9" s="130" t="str">
        <f t="shared" si="4"/>
        <v/>
      </c>
      <c r="AO9" s="130" t="str">
        <f t="shared" si="5"/>
        <v/>
      </c>
      <c r="AP9" s="130" t="str">
        <f t="shared" si="6"/>
        <v/>
      </c>
      <c r="AQ9" s="130" t="str">
        <f t="shared" si="7"/>
        <v/>
      </c>
      <c r="AR9" s="130" t="str">
        <f t="shared" si="8"/>
        <v/>
      </c>
      <c r="AS9" s="130" t="str">
        <f t="shared" si="9"/>
        <v/>
      </c>
      <c r="AT9" s="130" t="str">
        <f t="shared" si="10"/>
        <v/>
      </c>
      <c r="AU9" s="130" t="str">
        <f t="shared" si="11"/>
        <v/>
      </c>
      <c r="AV9" s="130">
        <f t="shared" si="12"/>
        <v>1</v>
      </c>
      <c r="AW9" s="130">
        <f t="shared" si="13"/>
        <v>1</v>
      </c>
      <c r="AX9" s="130" t="str">
        <f t="shared" si="14"/>
        <v/>
      </c>
      <c r="AY9" s="130">
        <f t="shared" si="15"/>
        <v>1</v>
      </c>
      <c r="AZ9" s="130" t="str">
        <f t="shared" si="16"/>
        <v/>
      </c>
      <c r="BA9" s="130" t="str">
        <f t="shared" si="17"/>
        <v/>
      </c>
      <c r="BB9" s="130">
        <f t="shared" si="18"/>
        <v>1</v>
      </c>
      <c r="BC9" s="130">
        <f t="shared" si="19"/>
        <v>1</v>
      </c>
      <c r="BD9" s="130" t="str">
        <f t="shared" si="20"/>
        <v/>
      </c>
      <c r="BE9" s="130" t="str">
        <f t="shared" si="21"/>
        <v/>
      </c>
      <c r="BF9" s="130" t="str">
        <f t="shared" si="22"/>
        <v/>
      </c>
      <c r="BG9" s="130" t="str">
        <f t="shared" si="23"/>
        <v/>
      </c>
      <c r="BH9" s="130">
        <f t="shared" si="24"/>
        <v>1</v>
      </c>
      <c r="BI9" s="130" t="str">
        <f t="shared" si="25"/>
        <v/>
      </c>
      <c r="BJ9" s="130" t="str">
        <f t="shared" si="26"/>
        <v/>
      </c>
      <c r="BK9" s="130" t="str">
        <f t="shared" si="27"/>
        <v/>
      </c>
      <c r="BL9" s="130" t="str">
        <f t="shared" si="28"/>
        <v/>
      </c>
      <c r="BM9" s="130" t="str">
        <f t="shared" si="29"/>
        <v/>
      </c>
      <c r="BN9" s="130">
        <f t="shared" si="30"/>
        <v>1</v>
      </c>
      <c r="BO9" s="130" t="str">
        <f t="shared" si="31"/>
        <v/>
      </c>
      <c r="BP9" s="130" t="str">
        <f t="shared" si="32"/>
        <v/>
      </c>
      <c r="BQ9" s="130" t="str">
        <f t="shared" si="33"/>
        <v/>
      </c>
      <c r="BR9" s="130" t="str">
        <f t="shared" si="34"/>
        <v/>
      </c>
      <c r="BS9" s="130" t="str">
        <f t="shared" si="35"/>
        <v/>
      </c>
      <c r="BT9" s="130">
        <f t="shared" si="36"/>
        <v>1</v>
      </c>
      <c r="BU9" s="130" t="str">
        <f t="shared" si="37"/>
        <v/>
      </c>
      <c r="BV9" s="130" t="str">
        <f t="shared" si="38"/>
        <v/>
      </c>
      <c r="BW9" s="130">
        <f t="shared" si="39"/>
        <v>1</v>
      </c>
      <c r="BX9" s="130">
        <f t="shared" si="40"/>
        <v>1</v>
      </c>
      <c r="BY9" s="130">
        <f t="shared" si="41"/>
        <v>1</v>
      </c>
      <c r="BZ9" s="130">
        <f t="shared" si="42"/>
        <v>1</v>
      </c>
      <c r="CA9" s="130">
        <f t="shared" si="43"/>
        <v>1</v>
      </c>
      <c r="CB9" s="130">
        <f t="shared" si="44"/>
        <v>1</v>
      </c>
      <c r="CC9" s="130">
        <f t="shared" si="45"/>
        <v>1</v>
      </c>
      <c r="CD9" s="130" t="str">
        <f t="shared" si="46"/>
        <v/>
      </c>
      <c r="CE9" s="130">
        <f t="shared" si="47"/>
        <v>1</v>
      </c>
      <c r="CF9" s="130">
        <f t="shared" si="48"/>
        <v>1</v>
      </c>
      <c r="CG9" s="130">
        <f t="shared" si="49"/>
        <v>1</v>
      </c>
      <c r="CH9" s="130" t="str">
        <f t="shared" si="50"/>
        <v/>
      </c>
      <c r="CI9" s="130">
        <f t="shared" si="51"/>
        <v>1</v>
      </c>
      <c r="CJ9" s="130" t="str">
        <f t="shared" si="52"/>
        <v/>
      </c>
      <c r="CK9" s="130" t="str">
        <f t="shared" si="53"/>
        <v/>
      </c>
      <c r="CL9" s="130" t="str">
        <f t="shared" si="54"/>
        <v/>
      </c>
      <c r="CM9" s="130" t="str">
        <f t="shared" si="55"/>
        <v/>
      </c>
      <c r="CN9" s="130" t="str">
        <f t="shared" si="56"/>
        <v/>
      </c>
      <c r="CO9" s="130" t="str">
        <f t="shared" si="57"/>
        <v/>
      </c>
      <c r="CP9" s="130" t="str">
        <f t="shared" si="58"/>
        <v/>
      </c>
    </row>
    <row r="10" spans="1:94" s="90" customFormat="1" ht="16.149999999999999" customHeight="1" x14ac:dyDescent="0.3">
      <c r="A10" s="737"/>
      <c r="B10" s="93">
        <v>4</v>
      </c>
      <c r="C10" s="241" t="s">
        <v>344</v>
      </c>
      <c r="D10" s="492" t="s">
        <v>91</v>
      </c>
      <c r="E10" s="492" t="s">
        <v>59</v>
      </c>
      <c r="F10" s="492" t="s">
        <v>521</v>
      </c>
      <c r="G10" s="492" t="s">
        <v>50</v>
      </c>
      <c r="H10" s="492" t="s">
        <v>88</v>
      </c>
      <c r="I10" s="492" t="s">
        <v>48</v>
      </c>
      <c r="J10" s="492" t="s">
        <v>67</v>
      </c>
      <c r="K10" s="492" t="s">
        <v>70</v>
      </c>
      <c r="L10" s="492" t="s">
        <v>520</v>
      </c>
      <c r="M10" s="492" t="s">
        <v>498</v>
      </c>
      <c r="N10" s="492" t="s">
        <v>220</v>
      </c>
      <c r="O10" s="492" t="s">
        <v>95</v>
      </c>
      <c r="P10" s="492" t="s">
        <v>94</v>
      </c>
      <c r="Q10" s="492" t="s">
        <v>81</v>
      </c>
      <c r="R10" s="492" t="s">
        <v>522</v>
      </c>
      <c r="S10" s="492" t="s">
        <v>60</v>
      </c>
      <c r="T10" s="492" t="s">
        <v>68</v>
      </c>
      <c r="U10" s="492" t="s">
        <v>519</v>
      </c>
      <c r="V10" s="492" t="s">
        <v>73</v>
      </c>
      <c r="W10" s="492" t="s">
        <v>47</v>
      </c>
      <c r="X10" s="492" t="s">
        <v>61</v>
      </c>
      <c r="Y10" s="492" t="s">
        <v>523</v>
      </c>
      <c r="Z10" s="492" t="s">
        <v>76</v>
      </c>
      <c r="AA10" s="492" t="s">
        <v>45</v>
      </c>
      <c r="AB10" s="492" t="s">
        <v>85</v>
      </c>
      <c r="AC10" s="492" t="s">
        <v>97</v>
      </c>
      <c r="AD10" s="492" t="s">
        <v>96</v>
      </c>
      <c r="AE10" s="493" t="s">
        <v>190</v>
      </c>
      <c r="AF10" s="130" t="str">
        <f t="shared" si="0"/>
        <v/>
      </c>
      <c r="AG10" s="130">
        <f t="shared" si="59"/>
        <v>1</v>
      </c>
      <c r="AH10" s="130" t="str">
        <f t="shared" si="60"/>
        <v/>
      </c>
      <c r="AI10" s="130">
        <f t="shared" si="61"/>
        <v>1</v>
      </c>
      <c r="AJ10" s="130">
        <f t="shared" si="62"/>
        <v>1</v>
      </c>
      <c r="AK10" s="130" t="str">
        <f t="shared" si="1"/>
        <v/>
      </c>
      <c r="AL10" s="130">
        <f t="shared" si="2"/>
        <v>1</v>
      </c>
      <c r="AM10" s="130" t="str">
        <f t="shared" si="3"/>
        <v/>
      </c>
      <c r="AN10" s="130" t="str">
        <f t="shared" si="4"/>
        <v/>
      </c>
      <c r="AO10" s="130" t="str">
        <f t="shared" si="5"/>
        <v/>
      </c>
      <c r="AP10" s="130" t="str">
        <f t="shared" si="6"/>
        <v/>
      </c>
      <c r="AQ10" s="130" t="str">
        <f t="shared" si="7"/>
        <v/>
      </c>
      <c r="AR10" s="130" t="str">
        <f t="shared" si="8"/>
        <v/>
      </c>
      <c r="AS10" s="130" t="str">
        <f t="shared" si="9"/>
        <v/>
      </c>
      <c r="AT10" s="130" t="str">
        <f t="shared" si="10"/>
        <v/>
      </c>
      <c r="AU10" s="130" t="str">
        <f t="shared" si="11"/>
        <v/>
      </c>
      <c r="AV10" s="130">
        <f t="shared" si="12"/>
        <v>1</v>
      </c>
      <c r="AW10" s="130">
        <f t="shared" si="13"/>
        <v>1</v>
      </c>
      <c r="AX10" s="130">
        <f t="shared" si="14"/>
        <v>1</v>
      </c>
      <c r="AY10" s="130" t="str">
        <f t="shared" si="15"/>
        <v/>
      </c>
      <c r="AZ10" s="130" t="str">
        <f t="shared" si="16"/>
        <v/>
      </c>
      <c r="BA10" s="130" t="str">
        <f t="shared" si="17"/>
        <v/>
      </c>
      <c r="BB10" s="130" t="str">
        <f t="shared" si="18"/>
        <v/>
      </c>
      <c r="BC10" s="130">
        <f t="shared" si="19"/>
        <v>1</v>
      </c>
      <c r="BD10" s="130">
        <f t="shared" si="20"/>
        <v>1</v>
      </c>
      <c r="BE10" s="130" t="str">
        <f t="shared" si="21"/>
        <v/>
      </c>
      <c r="BF10" s="130">
        <f t="shared" si="22"/>
        <v>1</v>
      </c>
      <c r="BG10" s="130" t="str">
        <f t="shared" si="23"/>
        <v/>
      </c>
      <c r="BH10" s="130">
        <f t="shared" si="24"/>
        <v>1</v>
      </c>
      <c r="BI10" s="130" t="str">
        <f t="shared" si="25"/>
        <v/>
      </c>
      <c r="BJ10" s="130" t="str">
        <f t="shared" si="26"/>
        <v/>
      </c>
      <c r="BK10" s="130">
        <f t="shared" si="27"/>
        <v>1</v>
      </c>
      <c r="BL10" s="130" t="str">
        <f t="shared" si="28"/>
        <v/>
      </c>
      <c r="BM10" s="130" t="str">
        <f t="shared" si="29"/>
        <v/>
      </c>
      <c r="BN10" s="130" t="str">
        <f t="shared" si="30"/>
        <v/>
      </c>
      <c r="BO10" s="130" t="str">
        <f t="shared" si="31"/>
        <v/>
      </c>
      <c r="BP10" s="130">
        <f t="shared" si="32"/>
        <v>1</v>
      </c>
      <c r="BQ10" s="130" t="str">
        <f t="shared" si="33"/>
        <v/>
      </c>
      <c r="BR10" s="130" t="str">
        <f t="shared" si="34"/>
        <v/>
      </c>
      <c r="BS10" s="130" t="str">
        <f t="shared" si="35"/>
        <v/>
      </c>
      <c r="BT10" s="130">
        <f t="shared" si="36"/>
        <v>1</v>
      </c>
      <c r="BU10" s="130" t="str">
        <f t="shared" si="37"/>
        <v/>
      </c>
      <c r="BV10" s="130" t="str">
        <f t="shared" si="38"/>
        <v/>
      </c>
      <c r="BW10" s="130">
        <f t="shared" si="39"/>
        <v>1</v>
      </c>
      <c r="BX10" s="130" t="str">
        <f t="shared" si="40"/>
        <v/>
      </c>
      <c r="BY10" s="130">
        <f t="shared" si="41"/>
        <v>1</v>
      </c>
      <c r="BZ10" s="130" t="str">
        <f t="shared" si="42"/>
        <v/>
      </c>
      <c r="CA10" s="130">
        <f t="shared" si="43"/>
        <v>1</v>
      </c>
      <c r="CB10" s="130" t="str">
        <f t="shared" si="44"/>
        <v/>
      </c>
      <c r="CC10" s="130">
        <f t="shared" si="45"/>
        <v>1</v>
      </c>
      <c r="CD10" s="130" t="str">
        <f t="shared" si="46"/>
        <v/>
      </c>
      <c r="CE10" s="130">
        <f t="shared" si="47"/>
        <v>1</v>
      </c>
      <c r="CF10" s="130">
        <f t="shared" si="48"/>
        <v>1</v>
      </c>
      <c r="CG10" s="130">
        <f t="shared" si="49"/>
        <v>1</v>
      </c>
      <c r="CH10" s="130">
        <f t="shared" si="50"/>
        <v>1</v>
      </c>
      <c r="CI10" s="130">
        <f t="shared" si="51"/>
        <v>1</v>
      </c>
      <c r="CJ10" s="130" t="str">
        <f t="shared" si="52"/>
        <v/>
      </c>
      <c r="CK10" s="130" t="str">
        <f t="shared" si="53"/>
        <v/>
      </c>
      <c r="CL10" s="130" t="str">
        <f t="shared" si="54"/>
        <v/>
      </c>
      <c r="CM10" s="130" t="str">
        <f t="shared" si="55"/>
        <v/>
      </c>
      <c r="CN10" s="130" t="str">
        <f t="shared" si="56"/>
        <v/>
      </c>
      <c r="CO10" s="130" t="str">
        <f t="shared" si="57"/>
        <v/>
      </c>
      <c r="CP10" s="130" t="str">
        <f t="shared" si="58"/>
        <v/>
      </c>
    </row>
    <row r="11" spans="1:94" s="90" customFormat="1" ht="16.149999999999999" customHeight="1" x14ac:dyDescent="0.3">
      <c r="A11" s="738"/>
      <c r="B11" s="94">
        <v>5</v>
      </c>
      <c r="C11" s="242" t="s">
        <v>345</v>
      </c>
      <c r="D11" s="494" t="s">
        <v>95</v>
      </c>
      <c r="E11" s="494" t="s">
        <v>92</v>
      </c>
      <c r="F11" s="494" t="s">
        <v>521</v>
      </c>
      <c r="G11" s="494" t="s">
        <v>50</v>
      </c>
      <c r="H11" s="494" t="s">
        <v>518</v>
      </c>
      <c r="I11" s="494" t="s">
        <v>498</v>
      </c>
      <c r="J11" s="494" t="s">
        <v>96</v>
      </c>
      <c r="K11" s="494" t="s">
        <v>51</v>
      </c>
      <c r="L11" s="494" t="s">
        <v>520</v>
      </c>
      <c r="M11" s="494" t="s">
        <v>220</v>
      </c>
      <c r="N11" s="494" t="s">
        <v>47</v>
      </c>
      <c r="O11" s="494" t="s">
        <v>63</v>
      </c>
      <c r="P11" s="494" t="s">
        <v>67</v>
      </c>
      <c r="Q11" s="494" t="s">
        <v>60</v>
      </c>
      <c r="R11" s="494" t="s">
        <v>48</v>
      </c>
      <c r="S11" s="494" t="s">
        <v>79</v>
      </c>
      <c r="T11" s="494" t="s">
        <v>73</v>
      </c>
      <c r="U11" s="494" t="s">
        <v>519</v>
      </c>
      <c r="V11" s="494" t="s">
        <v>190</v>
      </c>
      <c r="W11" s="494" t="s">
        <v>97</v>
      </c>
      <c r="X11" s="494" t="s">
        <v>86</v>
      </c>
      <c r="Y11" s="494" t="s">
        <v>77</v>
      </c>
      <c r="Z11" s="494" t="s">
        <v>76</v>
      </c>
      <c r="AA11" s="494" t="s">
        <v>45</v>
      </c>
      <c r="AB11" s="494" t="s">
        <v>91</v>
      </c>
      <c r="AC11" s="494" t="s">
        <v>62</v>
      </c>
      <c r="AD11" s="494" t="s">
        <v>88</v>
      </c>
      <c r="AE11" s="495" t="s">
        <v>85</v>
      </c>
      <c r="AF11" s="130" t="str">
        <f t="shared" si="0"/>
        <v/>
      </c>
      <c r="AG11" s="130">
        <f t="shared" si="59"/>
        <v>1</v>
      </c>
      <c r="AH11" s="130" t="str">
        <f t="shared" si="60"/>
        <v/>
      </c>
      <c r="AI11" s="130">
        <f t="shared" si="61"/>
        <v>1</v>
      </c>
      <c r="AJ11" s="130">
        <f t="shared" si="62"/>
        <v>1</v>
      </c>
      <c r="AK11" s="130" t="str">
        <f t="shared" si="1"/>
        <v/>
      </c>
      <c r="AL11" s="130">
        <f t="shared" si="2"/>
        <v>1</v>
      </c>
      <c r="AM11" s="130">
        <f t="shared" si="3"/>
        <v>1</v>
      </c>
      <c r="AN11" s="130" t="str">
        <f t="shared" si="4"/>
        <v/>
      </c>
      <c r="AO11" s="130" t="str">
        <f t="shared" si="5"/>
        <v/>
      </c>
      <c r="AP11" s="130" t="str">
        <f t="shared" si="6"/>
        <v/>
      </c>
      <c r="AQ11" s="130" t="str">
        <f t="shared" si="7"/>
        <v/>
      </c>
      <c r="AR11" s="130" t="str">
        <f t="shared" si="8"/>
        <v/>
      </c>
      <c r="AS11" s="130" t="str">
        <f t="shared" si="9"/>
        <v/>
      </c>
      <c r="AT11" s="130" t="str">
        <f t="shared" si="10"/>
        <v/>
      </c>
      <c r="AU11" s="130" t="str">
        <f t="shared" si="11"/>
        <v/>
      </c>
      <c r="AV11" s="130" t="str">
        <f t="shared" si="12"/>
        <v/>
      </c>
      <c r="AW11" s="130">
        <f t="shared" si="13"/>
        <v>1</v>
      </c>
      <c r="AX11" s="130" t="str">
        <f t="shared" si="14"/>
        <v/>
      </c>
      <c r="AY11" s="130">
        <f t="shared" si="15"/>
        <v>1</v>
      </c>
      <c r="AZ11" s="130">
        <f t="shared" si="16"/>
        <v>1</v>
      </c>
      <c r="BA11" s="130" t="str">
        <f t="shared" si="17"/>
        <v/>
      </c>
      <c r="BB11" s="130" t="str">
        <f t="shared" si="18"/>
        <v/>
      </c>
      <c r="BC11" s="130">
        <f t="shared" si="19"/>
        <v>1</v>
      </c>
      <c r="BD11" s="130" t="str">
        <f t="shared" si="20"/>
        <v/>
      </c>
      <c r="BE11" s="130" t="str">
        <f t="shared" si="21"/>
        <v/>
      </c>
      <c r="BF11" s="130" t="str">
        <f t="shared" si="22"/>
        <v/>
      </c>
      <c r="BG11" s="130" t="str">
        <f t="shared" si="23"/>
        <v/>
      </c>
      <c r="BH11" s="130">
        <f t="shared" si="24"/>
        <v>1</v>
      </c>
      <c r="BI11" s="130" t="str">
        <f t="shared" si="25"/>
        <v/>
      </c>
      <c r="BJ11" s="130" t="str">
        <f t="shared" si="26"/>
        <v/>
      </c>
      <c r="BK11" s="130">
        <f t="shared" si="27"/>
        <v>1</v>
      </c>
      <c r="BL11" s="130">
        <f t="shared" si="28"/>
        <v>1</v>
      </c>
      <c r="BM11" s="130" t="str">
        <f t="shared" si="29"/>
        <v/>
      </c>
      <c r="BN11" s="130">
        <f t="shared" si="30"/>
        <v>1</v>
      </c>
      <c r="BO11" s="130" t="str">
        <f t="shared" si="31"/>
        <v/>
      </c>
      <c r="BP11" s="130" t="str">
        <f t="shared" si="32"/>
        <v/>
      </c>
      <c r="BQ11" s="130" t="str">
        <f t="shared" si="33"/>
        <v/>
      </c>
      <c r="BR11" s="130" t="str">
        <f t="shared" si="34"/>
        <v/>
      </c>
      <c r="BS11" s="130" t="str">
        <f t="shared" si="35"/>
        <v/>
      </c>
      <c r="BT11" s="130">
        <f t="shared" si="36"/>
        <v>1</v>
      </c>
      <c r="BU11" s="130" t="str">
        <f t="shared" si="37"/>
        <v/>
      </c>
      <c r="BV11" s="130" t="str">
        <f t="shared" si="38"/>
        <v/>
      </c>
      <c r="BW11" s="130">
        <f t="shared" si="39"/>
        <v>1</v>
      </c>
      <c r="BX11" s="130">
        <f t="shared" si="40"/>
        <v>1</v>
      </c>
      <c r="BY11" s="130">
        <f t="shared" si="41"/>
        <v>1</v>
      </c>
      <c r="BZ11" s="130" t="str">
        <f t="shared" si="42"/>
        <v/>
      </c>
      <c r="CA11" s="130">
        <f t="shared" si="43"/>
        <v>1</v>
      </c>
      <c r="CB11" s="130">
        <f t="shared" si="44"/>
        <v>1</v>
      </c>
      <c r="CC11" s="130">
        <f t="shared" si="45"/>
        <v>1</v>
      </c>
      <c r="CD11" s="130" t="str">
        <f t="shared" si="46"/>
        <v/>
      </c>
      <c r="CE11" s="130">
        <f t="shared" si="47"/>
        <v>1</v>
      </c>
      <c r="CF11" s="130" t="str">
        <f t="shared" si="48"/>
        <v/>
      </c>
      <c r="CG11" s="130">
        <f t="shared" si="49"/>
        <v>1</v>
      </c>
      <c r="CH11" s="130">
        <f t="shared" si="50"/>
        <v>1</v>
      </c>
      <c r="CI11" s="130">
        <f t="shared" si="51"/>
        <v>1</v>
      </c>
      <c r="CJ11" s="130" t="str">
        <f t="shared" si="52"/>
        <v/>
      </c>
      <c r="CK11" s="130" t="str">
        <f t="shared" si="53"/>
        <v/>
      </c>
      <c r="CL11" s="130" t="str">
        <f t="shared" si="54"/>
        <v/>
      </c>
      <c r="CM11" s="130" t="str">
        <f t="shared" si="55"/>
        <v/>
      </c>
      <c r="CN11" s="130" t="str">
        <f t="shared" si="56"/>
        <v/>
      </c>
      <c r="CO11" s="130" t="str">
        <f t="shared" si="57"/>
        <v/>
      </c>
      <c r="CP11" s="130" t="str">
        <f t="shared" si="58"/>
        <v/>
      </c>
    </row>
    <row r="12" spans="1:94" s="95" customFormat="1" ht="16.149999999999999" customHeight="1" x14ac:dyDescent="0.3">
      <c r="A12" s="739">
        <v>3</v>
      </c>
      <c r="B12" s="322">
        <v>1</v>
      </c>
      <c r="C12" s="319" t="s">
        <v>301</v>
      </c>
      <c r="D12" s="496" t="s">
        <v>57</v>
      </c>
      <c r="E12" s="496" t="s">
        <v>524</v>
      </c>
      <c r="F12" s="496" t="s">
        <v>86</v>
      </c>
      <c r="G12" s="496" t="s">
        <v>94</v>
      </c>
      <c r="H12" s="496" t="s">
        <v>523</v>
      </c>
      <c r="I12" s="496" t="s">
        <v>79</v>
      </c>
      <c r="J12" s="496" t="s">
        <v>50</v>
      </c>
      <c r="K12" s="496" t="s">
        <v>81</v>
      </c>
      <c r="L12" s="496" t="s">
        <v>93</v>
      </c>
      <c r="M12" s="496" t="s">
        <v>220</v>
      </c>
      <c r="N12" s="496" t="s">
        <v>78</v>
      </c>
      <c r="O12" s="496" t="s">
        <v>92</v>
      </c>
      <c r="P12" s="496" t="s">
        <v>525</v>
      </c>
      <c r="Q12" s="496" t="s">
        <v>51</v>
      </c>
      <c r="R12" s="496" t="s">
        <v>82</v>
      </c>
      <c r="S12" s="496" t="s">
        <v>64</v>
      </c>
      <c r="T12" s="496" t="s">
        <v>522</v>
      </c>
      <c r="U12" s="496" t="s">
        <v>49</v>
      </c>
      <c r="V12" s="496" t="s">
        <v>66</v>
      </c>
      <c r="W12" s="496" t="s">
        <v>526</v>
      </c>
      <c r="X12" s="496" t="s">
        <v>61</v>
      </c>
      <c r="Y12" s="496" t="s">
        <v>96</v>
      </c>
      <c r="Z12" s="496" t="s">
        <v>88</v>
      </c>
      <c r="AA12" s="496" t="s">
        <v>80</v>
      </c>
      <c r="AB12" s="496" t="s">
        <v>76</v>
      </c>
      <c r="AC12" s="496" t="s">
        <v>83</v>
      </c>
      <c r="AD12" s="496" t="s">
        <v>236</v>
      </c>
      <c r="AE12" s="497" t="s">
        <v>189</v>
      </c>
      <c r="AF12" s="131" t="str">
        <f t="shared" si="0"/>
        <v/>
      </c>
      <c r="AG12" s="131" t="str">
        <f t="shared" si="59"/>
        <v/>
      </c>
      <c r="AH12" s="131" t="str">
        <f t="shared" si="60"/>
        <v/>
      </c>
      <c r="AI12" s="131" t="str">
        <f t="shared" si="61"/>
        <v/>
      </c>
      <c r="AJ12" s="131" t="str">
        <f t="shared" si="62"/>
        <v/>
      </c>
      <c r="AK12" s="131">
        <f t="shared" si="1"/>
        <v>1</v>
      </c>
      <c r="AL12" s="131">
        <f t="shared" si="2"/>
        <v>1</v>
      </c>
      <c r="AM12" s="131">
        <f t="shared" si="3"/>
        <v>1</v>
      </c>
      <c r="AN12" s="131" t="str">
        <f t="shared" si="4"/>
        <v/>
      </c>
      <c r="AO12" s="131" t="str">
        <f t="shared" si="5"/>
        <v/>
      </c>
      <c r="AP12" s="131" t="str">
        <f t="shared" si="6"/>
        <v/>
      </c>
      <c r="AQ12" s="131" t="str">
        <f t="shared" si="7"/>
        <v/>
      </c>
      <c r="AR12" s="131" t="str">
        <f t="shared" si="8"/>
        <v/>
      </c>
      <c r="AS12" s="131">
        <f t="shared" si="9"/>
        <v>1</v>
      </c>
      <c r="AT12" s="131">
        <f t="shared" si="10"/>
        <v>1</v>
      </c>
      <c r="AU12" s="131" t="str">
        <f t="shared" si="11"/>
        <v/>
      </c>
      <c r="AV12" s="131" t="str">
        <f t="shared" si="12"/>
        <v/>
      </c>
      <c r="AW12" s="131" t="str">
        <f t="shared" si="13"/>
        <v/>
      </c>
      <c r="AX12" s="131">
        <f t="shared" si="14"/>
        <v>1</v>
      </c>
      <c r="AY12" s="131" t="str">
        <f t="shared" si="15"/>
        <v/>
      </c>
      <c r="AZ12" s="131" t="str">
        <f t="shared" si="16"/>
        <v/>
      </c>
      <c r="BA12" s="131">
        <f t="shared" si="17"/>
        <v>1</v>
      </c>
      <c r="BB12" s="131">
        <f t="shared" si="18"/>
        <v>1</v>
      </c>
      <c r="BC12" s="131" t="str">
        <f t="shared" si="19"/>
        <v/>
      </c>
      <c r="BD12" s="131" t="str">
        <f t="shared" si="20"/>
        <v/>
      </c>
      <c r="BE12" s="131" t="str">
        <f t="shared" si="21"/>
        <v/>
      </c>
      <c r="BF12" s="131" t="str">
        <f t="shared" si="22"/>
        <v/>
      </c>
      <c r="BG12" s="131" t="str">
        <f t="shared" si="23"/>
        <v/>
      </c>
      <c r="BH12" s="131" t="str">
        <f t="shared" si="24"/>
        <v/>
      </c>
      <c r="BI12" s="131" t="str">
        <f t="shared" si="25"/>
        <v/>
      </c>
      <c r="BJ12" s="131" t="str">
        <f t="shared" si="26"/>
        <v/>
      </c>
      <c r="BK12" s="131">
        <f t="shared" si="27"/>
        <v>1</v>
      </c>
      <c r="BL12" s="131" t="str">
        <f t="shared" si="28"/>
        <v/>
      </c>
      <c r="BM12" s="131">
        <f t="shared" si="29"/>
        <v>1</v>
      </c>
      <c r="BN12" s="131">
        <f t="shared" si="30"/>
        <v>1</v>
      </c>
      <c r="BO12" s="131">
        <f t="shared" si="31"/>
        <v>1</v>
      </c>
      <c r="BP12" s="131">
        <f t="shared" si="32"/>
        <v>1</v>
      </c>
      <c r="BQ12" s="131">
        <f t="shared" si="33"/>
        <v>1</v>
      </c>
      <c r="BR12" s="131">
        <f t="shared" si="34"/>
        <v>1</v>
      </c>
      <c r="BS12" s="131" t="str">
        <f t="shared" si="35"/>
        <v/>
      </c>
      <c r="BT12" s="131">
        <f t="shared" si="36"/>
        <v>1</v>
      </c>
      <c r="BU12" s="131" t="str">
        <f t="shared" si="37"/>
        <v/>
      </c>
      <c r="BV12" s="131">
        <f t="shared" si="38"/>
        <v>1</v>
      </c>
      <c r="BW12" s="131" t="str">
        <f t="shared" si="39"/>
        <v/>
      </c>
      <c r="BX12" s="131">
        <f t="shared" si="40"/>
        <v>1</v>
      </c>
      <c r="BY12" s="131" t="str">
        <f t="shared" si="41"/>
        <v/>
      </c>
      <c r="BZ12" s="131" t="str">
        <f t="shared" si="42"/>
        <v/>
      </c>
      <c r="CA12" s="131" t="str">
        <f t="shared" si="43"/>
        <v/>
      </c>
      <c r="CB12" s="131">
        <f t="shared" si="44"/>
        <v>1</v>
      </c>
      <c r="CC12" s="131">
        <f t="shared" si="45"/>
        <v>1</v>
      </c>
      <c r="CD12" s="131">
        <f t="shared" si="46"/>
        <v>1</v>
      </c>
      <c r="CE12" s="131" t="str">
        <f t="shared" si="47"/>
        <v/>
      </c>
      <c r="CF12" s="131">
        <f t="shared" si="48"/>
        <v>1</v>
      </c>
      <c r="CG12" s="131" t="str">
        <f t="shared" si="49"/>
        <v/>
      </c>
      <c r="CH12" s="131">
        <f t="shared" si="50"/>
        <v>1</v>
      </c>
      <c r="CI12" s="131" t="str">
        <f t="shared" si="51"/>
        <v/>
      </c>
      <c r="CJ12" s="131" t="str">
        <f t="shared" si="52"/>
        <v/>
      </c>
      <c r="CK12" s="131" t="str">
        <f t="shared" si="53"/>
        <v/>
      </c>
      <c r="CL12" s="131" t="str">
        <f t="shared" si="54"/>
        <v/>
      </c>
      <c r="CM12" s="131" t="str">
        <f t="shared" si="55"/>
        <v/>
      </c>
      <c r="CN12" s="131" t="str">
        <f t="shared" si="56"/>
        <v/>
      </c>
      <c r="CO12" s="131" t="str">
        <f t="shared" si="57"/>
        <v/>
      </c>
      <c r="CP12" s="131" t="str">
        <f t="shared" si="58"/>
        <v/>
      </c>
    </row>
    <row r="13" spans="1:94" s="95" customFormat="1" ht="16.149999999999999" customHeight="1" x14ac:dyDescent="0.3">
      <c r="A13" s="740"/>
      <c r="B13" s="323">
        <v>2</v>
      </c>
      <c r="C13" s="320" t="s">
        <v>302</v>
      </c>
      <c r="D13" s="498" t="s">
        <v>72</v>
      </c>
      <c r="E13" s="498" t="s">
        <v>86</v>
      </c>
      <c r="F13" s="498" t="s">
        <v>94</v>
      </c>
      <c r="G13" s="498" t="s">
        <v>75</v>
      </c>
      <c r="H13" s="498" t="s">
        <v>81</v>
      </c>
      <c r="I13" s="498" t="s">
        <v>79</v>
      </c>
      <c r="J13" s="498" t="s">
        <v>50</v>
      </c>
      <c r="K13" s="498" t="s">
        <v>522</v>
      </c>
      <c r="L13" s="498" t="s">
        <v>83</v>
      </c>
      <c r="M13" s="498" t="s">
        <v>220</v>
      </c>
      <c r="N13" s="498" t="s">
        <v>78</v>
      </c>
      <c r="O13" s="498" t="s">
        <v>55</v>
      </c>
      <c r="P13" s="498" t="s">
        <v>48</v>
      </c>
      <c r="Q13" s="498" t="s">
        <v>51</v>
      </c>
      <c r="R13" s="498" t="s">
        <v>82</v>
      </c>
      <c r="S13" s="498" t="s">
        <v>64</v>
      </c>
      <c r="T13" s="498" t="s">
        <v>68</v>
      </c>
      <c r="U13" s="498" t="s">
        <v>57</v>
      </c>
      <c r="V13" s="498" t="s">
        <v>66</v>
      </c>
      <c r="W13" s="498" t="s">
        <v>236</v>
      </c>
      <c r="X13" s="498" t="s">
        <v>93</v>
      </c>
      <c r="Y13" s="498" t="s">
        <v>523</v>
      </c>
      <c r="Z13" s="498" t="s">
        <v>96</v>
      </c>
      <c r="AA13" s="498" t="s">
        <v>80</v>
      </c>
      <c r="AB13" s="498" t="s">
        <v>61</v>
      </c>
      <c r="AC13" s="498" t="s">
        <v>49</v>
      </c>
      <c r="AD13" s="498" t="s">
        <v>88</v>
      </c>
      <c r="AE13" s="499" t="s">
        <v>62</v>
      </c>
      <c r="AF13" s="131" t="str">
        <f t="shared" ref="AF13:AF34" si="63">IF(COUNTIF($D13:$AE13,"T2")&gt;=1,COUNTIF($D13:$AE13,"T2"),"")</f>
        <v/>
      </c>
      <c r="AG13" s="131" t="str">
        <f t="shared" si="59"/>
        <v/>
      </c>
      <c r="AH13" s="131" t="str">
        <f t="shared" si="60"/>
        <v/>
      </c>
      <c r="AI13" s="131" t="str">
        <f t="shared" si="61"/>
        <v/>
      </c>
      <c r="AJ13" s="131">
        <f t="shared" si="62"/>
        <v>1</v>
      </c>
      <c r="AK13" s="131">
        <f t="shared" si="1"/>
        <v>1</v>
      </c>
      <c r="AL13" s="131">
        <f t="shared" si="2"/>
        <v>1</v>
      </c>
      <c r="AM13" s="131">
        <f t="shared" si="3"/>
        <v>1</v>
      </c>
      <c r="AN13" s="131" t="str">
        <f t="shared" si="4"/>
        <v/>
      </c>
      <c r="AO13" s="131" t="str">
        <f t="shared" si="5"/>
        <v/>
      </c>
      <c r="AP13" s="131" t="str">
        <f t="shared" si="6"/>
        <v/>
      </c>
      <c r="AQ13" s="131">
        <f t="shared" si="7"/>
        <v>1</v>
      </c>
      <c r="AR13" s="131" t="str">
        <f t="shared" si="8"/>
        <v/>
      </c>
      <c r="AS13" s="131">
        <f t="shared" si="9"/>
        <v>1</v>
      </c>
      <c r="AT13" s="131">
        <f t="shared" si="10"/>
        <v>1</v>
      </c>
      <c r="AU13" s="131" t="str">
        <f t="shared" si="11"/>
        <v/>
      </c>
      <c r="AV13" s="131" t="str">
        <f t="shared" si="12"/>
        <v/>
      </c>
      <c r="AW13" s="131" t="str">
        <f t="shared" si="13"/>
        <v/>
      </c>
      <c r="AX13" s="131">
        <f t="shared" si="14"/>
        <v>1</v>
      </c>
      <c r="AY13" s="131">
        <f t="shared" si="15"/>
        <v>1</v>
      </c>
      <c r="AZ13" s="131" t="str">
        <f t="shared" si="16"/>
        <v/>
      </c>
      <c r="BA13" s="131">
        <f t="shared" si="17"/>
        <v>1</v>
      </c>
      <c r="BB13" s="131">
        <f t="shared" si="18"/>
        <v>1</v>
      </c>
      <c r="BC13" s="131" t="str">
        <f t="shared" si="19"/>
        <v/>
      </c>
      <c r="BD13" s="131">
        <f t="shared" si="20"/>
        <v>1</v>
      </c>
      <c r="BE13" s="131" t="str">
        <f t="shared" si="21"/>
        <v/>
      </c>
      <c r="BF13" s="131" t="str">
        <f t="shared" si="22"/>
        <v/>
      </c>
      <c r="BG13" s="131">
        <f t="shared" si="23"/>
        <v>1</v>
      </c>
      <c r="BH13" s="131" t="str">
        <f t="shared" si="24"/>
        <v/>
      </c>
      <c r="BI13" s="131" t="str">
        <f t="shared" si="25"/>
        <v/>
      </c>
      <c r="BJ13" s="131">
        <f t="shared" si="26"/>
        <v>1</v>
      </c>
      <c r="BK13" s="131" t="str">
        <f t="shared" si="27"/>
        <v/>
      </c>
      <c r="BL13" s="131" t="str">
        <f t="shared" si="28"/>
        <v/>
      </c>
      <c r="BM13" s="131">
        <f t="shared" si="29"/>
        <v>1</v>
      </c>
      <c r="BN13" s="131">
        <f t="shared" si="30"/>
        <v>1</v>
      </c>
      <c r="BO13" s="131">
        <f t="shared" si="31"/>
        <v>1</v>
      </c>
      <c r="BP13" s="131">
        <f t="shared" si="32"/>
        <v>1</v>
      </c>
      <c r="BQ13" s="131" t="str">
        <f t="shared" si="33"/>
        <v/>
      </c>
      <c r="BR13" s="131">
        <f t="shared" si="34"/>
        <v>1</v>
      </c>
      <c r="BS13" s="131" t="str">
        <f t="shared" si="35"/>
        <v/>
      </c>
      <c r="BT13" s="131">
        <f t="shared" si="36"/>
        <v>1</v>
      </c>
      <c r="BU13" s="131" t="str">
        <f t="shared" si="37"/>
        <v/>
      </c>
      <c r="BV13" s="131">
        <f t="shared" si="38"/>
        <v>1</v>
      </c>
      <c r="BW13" s="131" t="str">
        <f t="shared" si="39"/>
        <v/>
      </c>
      <c r="BX13" s="131">
        <f t="shared" si="40"/>
        <v>1</v>
      </c>
      <c r="BY13" s="131" t="str">
        <f t="shared" si="41"/>
        <v/>
      </c>
      <c r="BZ13" s="131" t="str">
        <f t="shared" si="42"/>
        <v/>
      </c>
      <c r="CA13" s="131" t="str">
        <f t="shared" si="43"/>
        <v/>
      </c>
      <c r="CB13" s="131" t="str">
        <f t="shared" si="44"/>
        <v/>
      </c>
      <c r="CC13" s="131">
        <f t="shared" si="45"/>
        <v>1</v>
      </c>
      <c r="CD13" s="131">
        <f t="shared" si="46"/>
        <v>1</v>
      </c>
      <c r="CE13" s="131" t="str">
        <f t="shared" si="47"/>
        <v/>
      </c>
      <c r="CF13" s="131">
        <f t="shared" si="48"/>
        <v>1</v>
      </c>
      <c r="CG13" s="131" t="str">
        <f t="shared" si="49"/>
        <v/>
      </c>
      <c r="CH13" s="131">
        <f t="shared" si="50"/>
        <v>1</v>
      </c>
      <c r="CI13" s="131" t="str">
        <f t="shared" si="51"/>
        <v/>
      </c>
      <c r="CJ13" s="131" t="str">
        <f t="shared" si="52"/>
        <v/>
      </c>
      <c r="CK13" s="131" t="str">
        <f t="shared" si="53"/>
        <v/>
      </c>
      <c r="CL13" s="131" t="str">
        <f t="shared" si="54"/>
        <v/>
      </c>
      <c r="CM13" s="131" t="str">
        <f t="shared" si="55"/>
        <v/>
      </c>
      <c r="CN13" s="131" t="str">
        <f t="shared" si="56"/>
        <v/>
      </c>
      <c r="CO13" s="131" t="str">
        <f t="shared" si="57"/>
        <v/>
      </c>
      <c r="CP13" s="131" t="str">
        <f t="shared" si="58"/>
        <v/>
      </c>
    </row>
    <row r="14" spans="1:94" s="95" customFormat="1" ht="16.149999999999999" customHeight="1" x14ac:dyDescent="0.3">
      <c r="A14" s="740"/>
      <c r="B14" s="323">
        <v>3</v>
      </c>
      <c r="C14" s="320" t="s">
        <v>343</v>
      </c>
      <c r="D14" s="498" t="s">
        <v>81</v>
      </c>
      <c r="E14" s="498" t="s">
        <v>88</v>
      </c>
      <c r="F14" s="498" t="s">
        <v>92</v>
      </c>
      <c r="G14" s="498" t="s">
        <v>75</v>
      </c>
      <c r="H14" s="498" t="s">
        <v>524</v>
      </c>
      <c r="I14" s="498" t="s">
        <v>48</v>
      </c>
      <c r="J14" s="498" t="s">
        <v>78</v>
      </c>
      <c r="K14" s="498" t="s">
        <v>64</v>
      </c>
      <c r="L14" s="498" t="s">
        <v>57</v>
      </c>
      <c r="M14" s="498" t="s">
        <v>525</v>
      </c>
      <c r="N14" s="498" t="s">
        <v>220</v>
      </c>
      <c r="O14" s="498" t="s">
        <v>82</v>
      </c>
      <c r="P14" s="498" t="s">
        <v>63</v>
      </c>
      <c r="Q14" s="498" t="s">
        <v>55</v>
      </c>
      <c r="R14" s="498" t="s">
        <v>79</v>
      </c>
      <c r="S14" s="498" t="s">
        <v>94</v>
      </c>
      <c r="T14" s="498" t="s">
        <v>68</v>
      </c>
      <c r="U14" s="498" t="s">
        <v>83</v>
      </c>
      <c r="V14" s="498" t="s">
        <v>236</v>
      </c>
      <c r="W14" s="498" t="s">
        <v>72</v>
      </c>
      <c r="X14" s="498" t="s">
        <v>86</v>
      </c>
      <c r="Y14" s="498" t="s">
        <v>62</v>
      </c>
      <c r="Z14" s="498" t="s">
        <v>46</v>
      </c>
      <c r="AA14" s="498" t="s">
        <v>80</v>
      </c>
      <c r="AB14" s="498" t="s">
        <v>61</v>
      </c>
      <c r="AC14" s="498" t="s">
        <v>189</v>
      </c>
      <c r="AD14" s="498" t="s">
        <v>96</v>
      </c>
      <c r="AE14" s="499" t="s">
        <v>76</v>
      </c>
      <c r="AF14" s="131" t="str">
        <f t="shared" si="63"/>
        <v/>
      </c>
      <c r="AG14" s="131" t="str">
        <f t="shared" si="59"/>
        <v/>
      </c>
      <c r="AH14" s="131">
        <f t="shared" si="60"/>
        <v>1</v>
      </c>
      <c r="AI14" s="131" t="str">
        <f t="shared" si="61"/>
        <v/>
      </c>
      <c r="AJ14" s="131">
        <f t="shared" si="62"/>
        <v>1</v>
      </c>
      <c r="AK14" s="131" t="str">
        <f t="shared" si="1"/>
        <v/>
      </c>
      <c r="AL14" s="131" t="str">
        <f t="shared" si="2"/>
        <v/>
      </c>
      <c r="AM14" s="131" t="str">
        <f t="shared" si="3"/>
        <v/>
      </c>
      <c r="AN14" s="131" t="str">
        <f t="shared" si="4"/>
        <v/>
      </c>
      <c r="AO14" s="131" t="str">
        <f t="shared" si="5"/>
        <v/>
      </c>
      <c r="AP14" s="131" t="str">
        <f t="shared" si="6"/>
        <v/>
      </c>
      <c r="AQ14" s="131">
        <f t="shared" si="7"/>
        <v>1</v>
      </c>
      <c r="AR14" s="131" t="str">
        <f t="shared" si="8"/>
        <v/>
      </c>
      <c r="AS14" s="131">
        <f t="shared" si="9"/>
        <v>1</v>
      </c>
      <c r="AT14" s="131">
        <f t="shared" si="10"/>
        <v>1</v>
      </c>
      <c r="AU14" s="131" t="str">
        <f t="shared" si="11"/>
        <v/>
      </c>
      <c r="AV14" s="131" t="str">
        <f t="shared" si="12"/>
        <v/>
      </c>
      <c r="AW14" s="131" t="str">
        <f t="shared" si="13"/>
        <v/>
      </c>
      <c r="AX14" s="131">
        <f t="shared" si="14"/>
        <v>1</v>
      </c>
      <c r="AY14" s="131">
        <f t="shared" si="15"/>
        <v>1</v>
      </c>
      <c r="AZ14" s="131">
        <f t="shared" si="16"/>
        <v>1</v>
      </c>
      <c r="BA14" s="131">
        <f t="shared" si="17"/>
        <v>1</v>
      </c>
      <c r="BB14" s="131" t="str">
        <f t="shared" si="18"/>
        <v/>
      </c>
      <c r="BC14" s="131" t="str">
        <f t="shared" si="19"/>
        <v/>
      </c>
      <c r="BD14" s="131">
        <f t="shared" si="20"/>
        <v>1</v>
      </c>
      <c r="BE14" s="131" t="str">
        <f t="shared" si="21"/>
        <v/>
      </c>
      <c r="BF14" s="131" t="str">
        <f t="shared" si="22"/>
        <v/>
      </c>
      <c r="BG14" s="131">
        <f t="shared" si="23"/>
        <v>1</v>
      </c>
      <c r="BH14" s="131" t="str">
        <f t="shared" si="24"/>
        <v/>
      </c>
      <c r="BI14" s="131" t="str">
        <f t="shared" si="25"/>
        <v/>
      </c>
      <c r="BJ14" s="131">
        <f t="shared" si="26"/>
        <v>1</v>
      </c>
      <c r="BK14" s="131">
        <f t="shared" si="27"/>
        <v>1</v>
      </c>
      <c r="BL14" s="131" t="str">
        <f t="shared" si="28"/>
        <v/>
      </c>
      <c r="BM14" s="131">
        <f t="shared" si="29"/>
        <v>1</v>
      </c>
      <c r="BN14" s="131">
        <f t="shared" si="30"/>
        <v>1</v>
      </c>
      <c r="BO14" s="131">
        <f t="shared" si="31"/>
        <v>1</v>
      </c>
      <c r="BP14" s="131">
        <f t="shared" si="32"/>
        <v>1</v>
      </c>
      <c r="BQ14" s="131">
        <f t="shared" si="33"/>
        <v>1</v>
      </c>
      <c r="BR14" s="131">
        <f t="shared" si="34"/>
        <v>1</v>
      </c>
      <c r="BS14" s="131" t="str">
        <f t="shared" si="35"/>
        <v/>
      </c>
      <c r="BT14" s="131">
        <f t="shared" si="36"/>
        <v>1</v>
      </c>
      <c r="BU14" s="131" t="str">
        <f t="shared" si="37"/>
        <v/>
      </c>
      <c r="BV14" s="131">
        <f t="shared" si="38"/>
        <v>1</v>
      </c>
      <c r="BW14" s="131" t="str">
        <f t="shared" si="39"/>
        <v/>
      </c>
      <c r="BX14" s="131">
        <f t="shared" si="40"/>
        <v>1</v>
      </c>
      <c r="BY14" s="131" t="str">
        <f t="shared" si="41"/>
        <v/>
      </c>
      <c r="BZ14" s="131" t="str">
        <f t="shared" si="42"/>
        <v/>
      </c>
      <c r="CA14" s="131" t="str">
        <f t="shared" si="43"/>
        <v/>
      </c>
      <c r="CB14" s="131">
        <f t="shared" si="44"/>
        <v>1</v>
      </c>
      <c r="CC14" s="131">
        <f t="shared" si="45"/>
        <v>1</v>
      </c>
      <c r="CD14" s="131" t="str">
        <f t="shared" si="46"/>
        <v/>
      </c>
      <c r="CE14" s="131" t="str">
        <f t="shared" si="47"/>
        <v/>
      </c>
      <c r="CF14" s="131">
        <f t="shared" si="48"/>
        <v>1</v>
      </c>
      <c r="CG14" s="131" t="str">
        <f t="shared" si="49"/>
        <v/>
      </c>
      <c r="CH14" s="131">
        <f t="shared" si="50"/>
        <v>1</v>
      </c>
      <c r="CI14" s="131" t="str">
        <f t="shared" si="51"/>
        <v/>
      </c>
      <c r="CJ14" s="131" t="str">
        <f t="shared" si="52"/>
        <v/>
      </c>
      <c r="CK14" s="131" t="str">
        <f t="shared" si="53"/>
        <v/>
      </c>
      <c r="CL14" s="131" t="str">
        <f t="shared" si="54"/>
        <v/>
      </c>
      <c r="CM14" s="131" t="str">
        <f t="shared" si="55"/>
        <v/>
      </c>
      <c r="CN14" s="131" t="str">
        <f t="shared" si="56"/>
        <v/>
      </c>
      <c r="CO14" s="131" t="str">
        <f t="shared" si="57"/>
        <v/>
      </c>
      <c r="CP14" s="131" t="str">
        <f t="shared" si="58"/>
        <v/>
      </c>
    </row>
    <row r="15" spans="1:94" s="95" customFormat="1" ht="16.149999999999999" customHeight="1" x14ac:dyDescent="0.3">
      <c r="A15" s="740"/>
      <c r="B15" s="323">
        <v>4</v>
      </c>
      <c r="C15" s="320" t="s">
        <v>344</v>
      </c>
      <c r="D15" s="498" t="s">
        <v>81</v>
      </c>
      <c r="E15" s="498" t="s">
        <v>92</v>
      </c>
      <c r="F15" s="498" t="s">
        <v>88</v>
      </c>
      <c r="G15" s="498" t="s">
        <v>50</v>
      </c>
      <c r="H15" s="498" t="s">
        <v>54</v>
      </c>
      <c r="I15" s="498" t="s">
        <v>96</v>
      </c>
      <c r="J15" s="498" t="s">
        <v>78</v>
      </c>
      <c r="K15" s="498" t="s">
        <v>51</v>
      </c>
      <c r="L15" s="498" t="s">
        <v>525</v>
      </c>
      <c r="M15" s="498" t="s">
        <v>522</v>
      </c>
      <c r="N15" s="498" t="s">
        <v>220</v>
      </c>
      <c r="O15" s="498" t="s">
        <v>83</v>
      </c>
      <c r="P15" s="498" t="s">
        <v>79</v>
      </c>
      <c r="Q15" s="498" t="s">
        <v>82</v>
      </c>
      <c r="R15" s="498" t="s">
        <v>48</v>
      </c>
      <c r="S15" s="498" t="s">
        <v>46</v>
      </c>
      <c r="T15" s="498" t="s">
        <v>80</v>
      </c>
      <c r="U15" s="498" t="s">
        <v>49</v>
      </c>
      <c r="V15" s="498" t="s">
        <v>61</v>
      </c>
      <c r="W15" s="498" t="s">
        <v>523</v>
      </c>
      <c r="X15" s="498" t="s">
        <v>66</v>
      </c>
      <c r="Y15" s="498" t="s">
        <v>68</v>
      </c>
      <c r="Z15" s="498" t="s">
        <v>86</v>
      </c>
      <c r="AA15" s="498" t="s">
        <v>93</v>
      </c>
      <c r="AB15" s="498" t="s">
        <v>236</v>
      </c>
      <c r="AC15" s="498" t="s">
        <v>62</v>
      </c>
      <c r="AD15" s="498" t="s">
        <v>55</v>
      </c>
      <c r="AE15" s="499" t="s">
        <v>76</v>
      </c>
      <c r="AF15" s="131" t="str">
        <f t="shared" si="63"/>
        <v/>
      </c>
      <c r="AG15" s="131" t="str">
        <f t="shared" si="59"/>
        <v/>
      </c>
      <c r="AH15" s="131">
        <f t="shared" si="60"/>
        <v>1</v>
      </c>
      <c r="AI15" s="131" t="str">
        <f t="shared" si="61"/>
        <v/>
      </c>
      <c r="AJ15" s="131">
        <f t="shared" si="62"/>
        <v>1</v>
      </c>
      <c r="AK15" s="131">
        <f t="shared" si="1"/>
        <v>1</v>
      </c>
      <c r="AL15" s="131">
        <f t="shared" si="2"/>
        <v>1</v>
      </c>
      <c r="AM15" s="131">
        <f t="shared" si="3"/>
        <v>1</v>
      </c>
      <c r="AN15" s="131" t="str">
        <f t="shared" si="4"/>
        <v/>
      </c>
      <c r="AO15" s="131" t="str">
        <f t="shared" si="5"/>
        <v/>
      </c>
      <c r="AP15" s="131">
        <f t="shared" si="6"/>
        <v>1</v>
      </c>
      <c r="AQ15" s="131">
        <f t="shared" si="7"/>
        <v>1</v>
      </c>
      <c r="AR15" s="131" t="str">
        <f t="shared" si="8"/>
        <v/>
      </c>
      <c r="AS15" s="131">
        <f t="shared" si="9"/>
        <v>1</v>
      </c>
      <c r="AT15" s="131" t="str">
        <f t="shared" si="10"/>
        <v/>
      </c>
      <c r="AU15" s="131" t="str">
        <f t="shared" si="11"/>
        <v/>
      </c>
      <c r="AV15" s="131" t="str">
        <f t="shared" si="12"/>
        <v/>
      </c>
      <c r="AW15" s="131" t="str">
        <f t="shared" si="13"/>
        <v/>
      </c>
      <c r="AX15" s="131">
        <f t="shared" si="14"/>
        <v>1</v>
      </c>
      <c r="AY15" s="131">
        <f t="shared" si="15"/>
        <v>1</v>
      </c>
      <c r="AZ15" s="131" t="str">
        <f t="shared" si="16"/>
        <v/>
      </c>
      <c r="BA15" s="131" t="str">
        <f t="shared" si="17"/>
        <v/>
      </c>
      <c r="BB15" s="131">
        <f t="shared" si="18"/>
        <v>1</v>
      </c>
      <c r="BC15" s="131" t="str">
        <f t="shared" si="19"/>
        <v/>
      </c>
      <c r="BD15" s="131">
        <f t="shared" si="20"/>
        <v>1</v>
      </c>
      <c r="BE15" s="131" t="str">
        <f t="shared" si="21"/>
        <v/>
      </c>
      <c r="BF15" s="131" t="str">
        <f t="shared" si="22"/>
        <v/>
      </c>
      <c r="BG15" s="131" t="str">
        <f t="shared" si="23"/>
        <v/>
      </c>
      <c r="BH15" s="131" t="str">
        <f t="shared" si="24"/>
        <v/>
      </c>
      <c r="BI15" s="131" t="str">
        <f t="shared" si="25"/>
        <v/>
      </c>
      <c r="BJ15" s="131" t="str">
        <f t="shared" si="26"/>
        <v/>
      </c>
      <c r="BK15" s="131">
        <f t="shared" si="27"/>
        <v>1</v>
      </c>
      <c r="BL15" s="131" t="str">
        <f t="shared" si="28"/>
        <v/>
      </c>
      <c r="BM15" s="131">
        <f t="shared" si="29"/>
        <v>1</v>
      </c>
      <c r="BN15" s="131">
        <f t="shared" si="30"/>
        <v>1</v>
      </c>
      <c r="BO15" s="131">
        <f t="shared" si="31"/>
        <v>1</v>
      </c>
      <c r="BP15" s="131">
        <f t="shared" si="32"/>
        <v>1</v>
      </c>
      <c r="BQ15" s="131" t="str">
        <f t="shared" si="33"/>
        <v/>
      </c>
      <c r="BR15" s="131">
        <f t="shared" si="34"/>
        <v>1</v>
      </c>
      <c r="BS15" s="131" t="str">
        <f t="shared" si="35"/>
        <v/>
      </c>
      <c r="BT15" s="131">
        <f t="shared" si="36"/>
        <v>1</v>
      </c>
      <c r="BU15" s="131" t="str">
        <f t="shared" si="37"/>
        <v/>
      </c>
      <c r="BV15" s="131">
        <f t="shared" si="38"/>
        <v>1</v>
      </c>
      <c r="BW15" s="131" t="str">
        <f t="shared" si="39"/>
        <v/>
      </c>
      <c r="BX15" s="131">
        <f t="shared" si="40"/>
        <v>1</v>
      </c>
      <c r="BY15" s="131" t="str">
        <f t="shared" si="41"/>
        <v/>
      </c>
      <c r="BZ15" s="131" t="str">
        <f t="shared" si="42"/>
        <v/>
      </c>
      <c r="CA15" s="131" t="str">
        <f t="shared" si="43"/>
        <v/>
      </c>
      <c r="CB15" s="131">
        <f t="shared" si="44"/>
        <v>1</v>
      </c>
      <c r="CC15" s="131">
        <f t="shared" si="45"/>
        <v>1</v>
      </c>
      <c r="CD15" s="131">
        <f t="shared" si="46"/>
        <v>1</v>
      </c>
      <c r="CE15" s="131" t="str">
        <f t="shared" si="47"/>
        <v/>
      </c>
      <c r="CF15" s="131" t="str">
        <f t="shared" si="48"/>
        <v/>
      </c>
      <c r="CG15" s="131" t="str">
        <f t="shared" si="49"/>
        <v/>
      </c>
      <c r="CH15" s="131">
        <f t="shared" si="50"/>
        <v>1</v>
      </c>
      <c r="CI15" s="131" t="str">
        <f t="shared" si="51"/>
        <v/>
      </c>
      <c r="CJ15" s="131" t="str">
        <f t="shared" si="52"/>
        <v/>
      </c>
      <c r="CK15" s="131" t="str">
        <f t="shared" si="53"/>
        <v/>
      </c>
      <c r="CL15" s="131" t="str">
        <f t="shared" si="54"/>
        <v/>
      </c>
      <c r="CM15" s="131" t="str">
        <f t="shared" si="55"/>
        <v/>
      </c>
      <c r="CN15" s="131" t="str">
        <f t="shared" si="56"/>
        <v/>
      </c>
      <c r="CO15" s="131" t="str">
        <f t="shared" si="57"/>
        <v/>
      </c>
      <c r="CP15" s="131" t="str">
        <f t="shared" si="58"/>
        <v/>
      </c>
    </row>
    <row r="16" spans="1:94" s="95" customFormat="1" ht="16.149999999999999" customHeight="1" x14ac:dyDescent="0.3">
      <c r="A16" s="741"/>
      <c r="B16" s="324">
        <v>5</v>
      </c>
      <c r="C16" s="321" t="s">
        <v>345</v>
      </c>
      <c r="D16" s="500" t="s">
        <v>81</v>
      </c>
      <c r="E16" s="500" t="s">
        <v>92</v>
      </c>
      <c r="F16" s="500" t="s">
        <v>524</v>
      </c>
      <c r="G16" s="500" t="s">
        <v>50</v>
      </c>
      <c r="H16" s="500" t="s">
        <v>94</v>
      </c>
      <c r="I16" s="500" t="s">
        <v>72</v>
      </c>
      <c r="J16" s="500" t="s">
        <v>96</v>
      </c>
      <c r="K16" s="500" t="s">
        <v>86</v>
      </c>
      <c r="L16" s="500" t="s">
        <v>57</v>
      </c>
      <c r="M16" s="500" t="s">
        <v>522</v>
      </c>
      <c r="N16" s="500" t="s">
        <v>82</v>
      </c>
      <c r="O16" s="500" t="s">
        <v>80</v>
      </c>
      <c r="P16" s="500" t="s">
        <v>79</v>
      </c>
      <c r="Q16" s="500" t="s">
        <v>525</v>
      </c>
      <c r="R16" s="500" t="s">
        <v>48</v>
      </c>
      <c r="S16" s="500" t="s">
        <v>78</v>
      </c>
      <c r="T16" s="500" t="s">
        <v>83</v>
      </c>
      <c r="U16" s="500" t="s">
        <v>66</v>
      </c>
      <c r="V16" s="500" t="s">
        <v>49</v>
      </c>
      <c r="W16" s="500" t="s">
        <v>523</v>
      </c>
      <c r="X16" s="500" t="s">
        <v>61</v>
      </c>
      <c r="Y16" s="500" t="s">
        <v>88</v>
      </c>
      <c r="Z16" s="500" t="s">
        <v>76</v>
      </c>
      <c r="AA16" s="500" t="s">
        <v>236</v>
      </c>
      <c r="AB16" s="500" t="s">
        <v>93</v>
      </c>
      <c r="AC16" s="500" t="s">
        <v>62</v>
      </c>
      <c r="AD16" s="500" t="s">
        <v>55</v>
      </c>
      <c r="AE16" s="501" t="s">
        <v>46</v>
      </c>
      <c r="AF16" s="131" t="str">
        <f t="shared" si="63"/>
        <v/>
      </c>
      <c r="AG16" s="131" t="str">
        <f t="shared" si="59"/>
        <v/>
      </c>
      <c r="AH16" s="131">
        <f t="shared" si="60"/>
        <v>1</v>
      </c>
      <c r="AI16" s="131" t="str">
        <f t="shared" si="61"/>
        <v/>
      </c>
      <c r="AJ16" s="131">
        <f t="shared" si="62"/>
        <v>1</v>
      </c>
      <c r="AK16" s="131">
        <f t="shared" si="1"/>
        <v>1</v>
      </c>
      <c r="AL16" s="131">
        <f t="shared" si="2"/>
        <v>1</v>
      </c>
      <c r="AM16" s="131" t="str">
        <f t="shared" si="3"/>
        <v/>
      </c>
      <c r="AN16" s="131" t="str">
        <f t="shared" si="4"/>
        <v/>
      </c>
      <c r="AO16" s="131" t="str">
        <f t="shared" si="5"/>
        <v/>
      </c>
      <c r="AP16" s="131" t="str">
        <f t="shared" si="6"/>
        <v/>
      </c>
      <c r="AQ16" s="131">
        <f t="shared" si="7"/>
        <v>1</v>
      </c>
      <c r="AR16" s="131" t="str">
        <f t="shared" si="8"/>
        <v/>
      </c>
      <c r="AS16" s="131">
        <f t="shared" si="9"/>
        <v>1</v>
      </c>
      <c r="AT16" s="131">
        <f t="shared" si="10"/>
        <v>1</v>
      </c>
      <c r="AU16" s="131" t="str">
        <f t="shared" si="11"/>
        <v/>
      </c>
      <c r="AV16" s="131" t="str">
        <f t="shared" si="12"/>
        <v/>
      </c>
      <c r="AW16" s="131" t="str">
        <f t="shared" si="13"/>
        <v/>
      </c>
      <c r="AX16" s="131">
        <f t="shared" si="14"/>
        <v>1</v>
      </c>
      <c r="AY16" s="131">
        <f t="shared" si="15"/>
        <v>1</v>
      </c>
      <c r="AZ16" s="131" t="str">
        <f t="shared" si="16"/>
        <v/>
      </c>
      <c r="BA16" s="131" t="str">
        <f t="shared" si="17"/>
        <v/>
      </c>
      <c r="BB16" s="131">
        <f t="shared" si="18"/>
        <v>1</v>
      </c>
      <c r="BC16" s="131" t="str">
        <f t="shared" si="19"/>
        <v/>
      </c>
      <c r="BD16" s="131" t="str">
        <f t="shared" si="20"/>
        <v/>
      </c>
      <c r="BE16" s="131" t="str">
        <f t="shared" si="21"/>
        <v/>
      </c>
      <c r="BF16" s="131" t="str">
        <f t="shared" si="22"/>
        <v/>
      </c>
      <c r="BG16" s="131">
        <f t="shared" si="23"/>
        <v>1</v>
      </c>
      <c r="BH16" s="131" t="str">
        <f t="shared" si="24"/>
        <v/>
      </c>
      <c r="BI16" s="131" t="str">
        <f t="shared" si="25"/>
        <v/>
      </c>
      <c r="BJ16" s="131" t="str">
        <f t="shared" si="26"/>
        <v/>
      </c>
      <c r="BK16" s="131">
        <f t="shared" si="27"/>
        <v>1</v>
      </c>
      <c r="BL16" s="131" t="str">
        <f t="shared" si="28"/>
        <v/>
      </c>
      <c r="BM16" s="131">
        <f t="shared" si="29"/>
        <v>1</v>
      </c>
      <c r="BN16" s="131">
        <f t="shared" si="30"/>
        <v>1</v>
      </c>
      <c r="BO16" s="131">
        <f t="shared" si="31"/>
        <v>1</v>
      </c>
      <c r="BP16" s="131">
        <f t="shared" si="32"/>
        <v>1</v>
      </c>
      <c r="BQ16" s="131" t="str">
        <f t="shared" si="33"/>
        <v/>
      </c>
      <c r="BR16" s="131">
        <f t="shared" si="34"/>
        <v>1</v>
      </c>
      <c r="BS16" s="131" t="str">
        <f t="shared" si="35"/>
        <v/>
      </c>
      <c r="BT16" s="131">
        <f t="shared" si="36"/>
        <v>1</v>
      </c>
      <c r="BU16" s="131" t="str">
        <f t="shared" si="37"/>
        <v/>
      </c>
      <c r="BV16" s="131">
        <f t="shared" si="38"/>
        <v>1</v>
      </c>
      <c r="BW16" s="131" t="str">
        <f t="shared" si="39"/>
        <v/>
      </c>
      <c r="BX16" s="131">
        <f t="shared" si="40"/>
        <v>1</v>
      </c>
      <c r="BY16" s="131" t="str">
        <f t="shared" si="41"/>
        <v/>
      </c>
      <c r="BZ16" s="131" t="str">
        <f t="shared" si="42"/>
        <v/>
      </c>
      <c r="CA16" s="131" t="str">
        <f t="shared" si="43"/>
        <v/>
      </c>
      <c r="CB16" s="131">
        <f t="shared" si="44"/>
        <v>1</v>
      </c>
      <c r="CC16" s="131" t="str">
        <f t="shared" si="45"/>
        <v/>
      </c>
      <c r="CD16" s="131">
        <f t="shared" si="46"/>
        <v>1</v>
      </c>
      <c r="CE16" s="131" t="str">
        <f t="shared" si="47"/>
        <v/>
      </c>
      <c r="CF16" s="131">
        <f t="shared" si="48"/>
        <v>1</v>
      </c>
      <c r="CG16" s="131" t="str">
        <f t="shared" si="49"/>
        <v/>
      </c>
      <c r="CH16" s="131">
        <f t="shared" si="50"/>
        <v>1</v>
      </c>
      <c r="CI16" s="131" t="str">
        <f t="shared" si="51"/>
        <v/>
      </c>
      <c r="CJ16" s="131" t="str">
        <f t="shared" si="52"/>
        <v/>
      </c>
      <c r="CK16" s="131" t="str">
        <f t="shared" si="53"/>
        <v/>
      </c>
      <c r="CL16" s="131" t="str">
        <f t="shared" si="54"/>
        <v/>
      </c>
      <c r="CM16" s="131" t="str">
        <f t="shared" si="55"/>
        <v/>
      </c>
      <c r="CN16" s="131" t="str">
        <f t="shared" si="56"/>
        <v/>
      </c>
      <c r="CO16" s="131" t="str">
        <f t="shared" si="57"/>
        <v/>
      </c>
      <c r="CP16" s="131" t="str">
        <f t="shared" si="58"/>
        <v/>
      </c>
    </row>
    <row r="17" spans="1:94" s="90" customFormat="1" ht="16.149999999999999" customHeight="1" x14ac:dyDescent="0.3">
      <c r="A17" s="736">
        <v>4</v>
      </c>
      <c r="B17" s="92">
        <v>1</v>
      </c>
      <c r="C17" s="240" t="s">
        <v>301</v>
      </c>
      <c r="D17" s="502" t="s">
        <v>91</v>
      </c>
      <c r="E17" s="502" t="s">
        <v>95</v>
      </c>
      <c r="F17" s="502" t="s">
        <v>524</v>
      </c>
      <c r="G17" s="502" t="s">
        <v>59</v>
      </c>
      <c r="H17" s="502" t="s">
        <v>88</v>
      </c>
      <c r="I17" s="502" t="s">
        <v>57</v>
      </c>
      <c r="J17" s="502" t="s">
        <v>78</v>
      </c>
      <c r="K17" s="502" t="s">
        <v>86</v>
      </c>
      <c r="L17" s="502" t="s">
        <v>525</v>
      </c>
      <c r="M17" s="502" t="s">
        <v>13</v>
      </c>
      <c r="N17" s="502" t="s">
        <v>47</v>
      </c>
      <c r="O17" s="502" t="s">
        <v>92</v>
      </c>
      <c r="P17" s="502" t="s">
        <v>94</v>
      </c>
      <c r="Q17" s="502" t="s">
        <v>190</v>
      </c>
      <c r="R17" s="502" t="s">
        <v>82</v>
      </c>
      <c r="S17" s="502" t="s">
        <v>55</v>
      </c>
      <c r="T17" s="502" t="s">
        <v>80</v>
      </c>
      <c r="U17" s="502" t="s">
        <v>49</v>
      </c>
      <c r="V17" s="502" t="s">
        <v>523</v>
      </c>
      <c r="W17" s="502" t="s">
        <v>97</v>
      </c>
      <c r="X17" s="502" t="s">
        <v>519</v>
      </c>
      <c r="Y17" s="502" t="s">
        <v>96</v>
      </c>
      <c r="Z17" s="502" t="s">
        <v>76</v>
      </c>
      <c r="AA17" s="502" t="s">
        <v>83</v>
      </c>
      <c r="AB17" s="502" t="s">
        <v>93</v>
      </c>
      <c r="AC17" s="502" t="s">
        <v>62</v>
      </c>
      <c r="AD17" s="502" t="s">
        <v>236</v>
      </c>
      <c r="AE17" s="503" t="s">
        <v>46</v>
      </c>
      <c r="AF17" s="130">
        <f t="shared" si="63"/>
        <v>1</v>
      </c>
      <c r="AG17" s="130" t="str">
        <f t="shared" si="59"/>
        <v/>
      </c>
      <c r="AH17" s="130">
        <f t="shared" si="60"/>
        <v>1</v>
      </c>
      <c r="AI17" s="130">
        <f t="shared" si="61"/>
        <v>1</v>
      </c>
      <c r="AJ17" s="130" t="str">
        <f t="shared" si="62"/>
        <v/>
      </c>
      <c r="AK17" s="130">
        <f t="shared" si="1"/>
        <v>1</v>
      </c>
      <c r="AL17" s="130" t="str">
        <f t="shared" si="2"/>
        <v/>
      </c>
      <c r="AM17" s="130" t="str">
        <f t="shared" si="3"/>
        <v/>
      </c>
      <c r="AN17" s="130" t="str">
        <f t="shared" si="4"/>
        <v/>
      </c>
      <c r="AO17" s="130" t="str">
        <f t="shared" si="5"/>
        <v/>
      </c>
      <c r="AP17" s="130" t="str">
        <f t="shared" si="6"/>
        <v/>
      </c>
      <c r="AQ17" s="130">
        <f t="shared" si="7"/>
        <v>1</v>
      </c>
      <c r="AR17" s="130" t="str">
        <f t="shared" si="8"/>
        <v/>
      </c>
      <c r="AS17" s="130">
        <f t="shared" si="9"/>
        <v>1</v>
      </c>
      <c r="AT17" s="130">
        <f t="shared" si="10"/>
        <v>1</v>
      </c>
      <c r="AU17" s="130" t="str">
        <f t="shared" si="11"/>
        <v/>
      </c>
      <c r="AV17" s="130">
        <f t="shared" si="12"/>
        <v>1</v>
      </c>
      <c r="AW17" s="130" t="str">
        <f t="shared" si="13"/>
        <v/>
      </c>
      <c r="AX17" s="130" t="str">
        <f t="shared" si="14"/>
        <v/>
      </c>
      <c r="AY17" s="130">
        <f t="shared" si="15"/>
        <v>1</v>
      </c>
      <c r="AZ17" s="130" t="str">
        <f t="shared" si="16"/>
        <v/>
      </c>
      <c r="BA17" s="130" t="str">
        <f t="shared" si="17"/>
        <v/>
      </c>
      <c r="BB17" s="130" t="str">
        <f t="shared" si="18"/>
        <v/>
      </c>
      <c r="BC17" s="130" t="str">
        <f t="shared" si="19"/>
        <v/>
      </c>
      <c r="BD17" s="130" t="str">
        <f t="shared" si="20"/>
        <v/>
      </c>
      <c r="BE17" s="130" t="str">
        <f t="shared" si="21"/>
        <v/>
      </c>
      <c r="BF17" s="130" t="str">
        <f t="shared" si="22"/>
        <v/>
      </c>
      <c r="BG17" s="130" t="str">
        <f t="shared" si="23"/>
        <v/>
      </c>
      <c r="BH17" s="130" t="str">
        <f t="shared" si="24"/>
        <v/>
      </c>
      <c r="BI17" s="130" t="str">
        <f t="shared" si="25"/>
        <v/>
      </c>
      <c r="BJ17" s="130" t="str">
        <f t="shared" si="26"/>
        <v/>
      </c>
      <c r="BK17" s="130">
        <f t="shared" si="27"/>
        <v>1</v>
      </c>
      <c r="BL17" s="130" t="str">
        <f t="shared" si="28"/>
        <v/>
      </c>
      <c r="BM17" s="130">
        <f t="shared" si="29"/>
        <v>1</v>
      </c>
      <c r="BN17" s="130" t="str">
        <f t="shared" si="30"/>
        <v/>
      </c>
      <c r="BO17" s="130">
        <f t="shared" si="31"/>
        <v>1</v>
      </c>
      <c r="BP17" s="130" t="str">
        <f t="shared" si="32"/>
        <v/>
      </c>
      <c r="BQ17" s="130" t="str">
        <f t="shared" si="33"/>
        <v/>
      </c>
      <c r="BR17" s="130">
        <f t="shared" si="34"/>
        <v>1</v>
      </c>
      <c r="BS17" s="130" t="str">
        <f t="shared" si="35"/>
        <v/>
      </c>
      <c r="BT17" s="130">
        <f t="shared" si="36"/>
        <v>1</v>
      </c>
      <c r="BU17" s="130" t="str">
        <f t="shared" si="37"/>
        <v/>
      </c>
      <c r="BV17" s="130">
        <f t="shared" si="38"/>
        <v>1</v>
      </c>
      <c r="BW17" s="130" t="str">
        <f t="shared" si="39"/>
        <v/>
      </c>
      <c r="BX17" s="130">
        <f t="shared" si="40"/>
        <v>1</v>
      </c>
      <c r="BY17" s="130" t="str">
        <f t="shared" si="41"/>
        <v/>
      </c>
      <c r="BZ17" s="130" t="str">
        <f t="shared" si="42"/>
        <v/>
      </c>
      <c r="CA17" s="130">
        <f t="shared" si="43"/>
        <v>1</v>
      </c>
      <c r="CB17" s="130">
        <f t="shared" si="44"/>
        <v>1</v>
      </c>
      <c r="CC17" s="130" t="str">
        <f t="shared" si="45"/>
        <v/>
      </c>
      <c r="CD17" s="130">
        <f t="shared" si="46"/>
        <v>1</v>
      </c>
      <c r="CE17" s="130">
        <f t="shared" si="47"/>
        <v>1</v>
      </c>
      <c r="CF17" s="130">
        <f t="shared" si="48"/>
        <v>1</v>
      </c>
      <c r="CG17" s="130">
        <f t="shared" si="49"/>
        <v>1</v>
      </c>
      <c r="CH17" s="130">
        <f t="shared" si="50"/>
        <v>1</v>
      </c>
      <c r="CI17" s="130">
        <f t="shared" si="51"/>
        <v>1</v>
      </c>
      <c r="CJ17" s="130" t="str">
        <f t="shared" si="52"/>
        <v/>
      </c>
      <c r="CK17" s="130" t="str">
        <f t="shared" si="53"/>
        <v/>
      </c>
      <c r="CL17" s="130" t="str">
        <f t="shared" si="54"/>
        <v/>
      </c>
      <c r="CM17" s="130" t="str">
        <f t="shared" si="55"/>
        <v/>
      </c>
      <c r="CN17" s="130" t="str">
        <f t="shared" si="56"/>
        <v/>
      </c>
      <c r="CO17" s="130" t="str">
        <f t="shared" si="57"/>
        <v/>
      </c>
      <c r="CP17" s="130" t="str">
        <f t="shared" si="58"/>
        <v/>
      </c>
    </row>
    <row r="18" spans="1:94" s="90" customFormat="1" ht="16.149999999999999" customHeight="1" x14ac:dyDescent="0.3">
      <c r="A18" s="737"/>
      <c r="B18" s="93">
        <v>2</v>
      </c>
      <c r="C18" s="241" t="s">
        <v>302</v>
      </c>
      <c r="D18" s="492" t="s">
        <v>91</v>
      </c>
      <c r="E18" s="492" t="s">
        <v>86</v>
      </c>
      <c r="F18" s="492" t="s">
        <v>54</v>
      </c>
      <c r="G18" s="492" t="s">
        <v>59</v>
      </c>
      <c r="H18" s="492" t="s">
        <v>523</v>
      </c>
      <c r="I18" s="492" t="s">
        <v>96</v>
      </c>
      <c r="J18" s="492" t="s">
        <v>72</v>
      </c>
      <c r="K18" s="492" t="s">
        <v>81</v>
      </c>
      <c r="L18" s="492" t="s">
        <v>93</v>
      </c>
      <c r="M18" s="492" t="s">
        <v>78</v>
      </c>
      <c r="N18" s="492" t="s">
        <v>47</v>
      </c>
      <c r="O18" s="492" t="s">
        <v>92</v>
      </c>
      <c r="P18" s="492" t="s">
        <v>525</v>
      </c>
      <c r="Q18" s="492" t="s">
        <v>82</v>
      </c>
      <c r="R18" s="492" t="s">
        <v>527</v>
      </c>
      <c r="S18" s="492" t="s">
        <v>94</v>
      </c>
      <c r="T18" s="492" t="s">
        <v>80</v>
      </c>
      <c r="U18" s="492" t="s">
        <v>49</v>
      </c>
      <c r="V18" s="492" t="s">
        <v>190</v>
      </c>
      <c r="W18" s="492" t="s">
        <v>83</v>
      </c>
      <c r="X18" s="492" t="s">
        <v>519</v>
      </c>
      <c r="Y18" s="492" t="s">
        <v>88</v>
      </c>
      <c r="Z18" s="492" t="s">
        <v>76</v>
      </c>
      <c r="AA18" s="492" t="s">
        <v>45</v>
      </c>
      <c r="AB18" s="492" t="s">
        <v>236</v>
      </c>
      <c r="AC18" s="492" t="s">
        <v>97</v>
      </c>
      <c r="AD18" s="492" t="s">
        <v>55</v>
      </c>
      <c r="AE18" s="493" t="s">
        <v>62</v>
      </c>
      <c r="AF18" s="130" t="str">
        <f t="shared" si="63"/>
        <v/>
      </c>
      <c r="AG18" s="130">
        <f t="shared" si="59"/>
        <v>1</v>
      </c>
      <c r="AH18" s="130" t="str">
        <f t="shared" si="60"/>
        <v/>
      </c>
      <c r="AI18" s="130">
        <f t="shared" si="61"/>
        <v>1</v>
      </c>
      <c r="AJ18" s="130" t="str">
        <f t="shared" si="62"/>
        <v/>
      </c>
      <c r="AK18" s="130">
        <f t="shared" si="1"/>
        <v>1</v>
      </c>
      <c r="AL18" s="130" t="str">
        <f t="shared" si="2"/>
        <v/>
      </c>
      <c r="AM18" s="130" t="str">
        <f t="shared" si="3"/>
        <v/>
      </c>
      <c r="AN18" s="130" t="str">
        <f t="shared" si="4"/>
        <v/>
      </c>
      <c r="AO18" s="130" t="str">
        <f t="shared" si="5"/>
        <v/>
      </c>
      <c r="AP18" s="130">
        <f t="shared" si="6"/>
        <v>1</v>
      </c>
      <c r="AQ18" s="130">
        <f t="shared" si="7"/>
        <v>1</v>
      </c>
      <c r="AR18" s="130" t="str">
        <f t="shared" si="8"/>
        <v/>
      </c>
      <c r="AS18" s="130">
        <f t="shared" si="9"/>
        <v>1</v>
      </c>
      <c r="AT18" s="130" t="str">
        <f t="shared" si="10"/>
        <v/>
      </c>
      <c r="AU18" s="130" t="str">
        <f t="shared" si="11"/>
        <v/>
      </c>
      <c r="AV18" s="130">
        <f t="shared" si="12"/>
        <v>1</v>
      </c>
      <c r="AW18" s="130" t="str">
        <f t="shared" si="13"/>
        <v/>
      </c>
      <c r="AX18" s="130" t="str">
        <f t="shared" si="14"/>
        <v/>
      </c>
      <c r="AY18" s="130">
        <f t="shared" si="15"/>
        <v>1</v>
      </c>
      <c r="AZ18" s="130" t="str">
        <f t="shared" si="16"/>
        <v/>
      </c>
      <c r="BA18" s="130" t="str">
        <f t="shared" si="17"/>
        <v/>
      </c>
      <c r="BB18" s="130" t="str">
        <f t="shared" si="18"/>
        <v/>
      </c>
      <c r="BC18" s="130" t="str">
        <f t="shared" si="19"/>
        <v/>
      </c>
      <c r="BD18" s="130" t="str">
        <f t="shared" si="20"/>
        <v/>
      </c>
      <c r="BE18" s="130" t="str">
        <f t="shared" si="21"/>
        <v/>
      </c>
      <c r="BF18" s="130" t="str">
        <f t="shared" si="22"/>
        <v/>
      </c>
      <c r="BG18" s="130">
        <f t="shared" si="23"/>
        <v>1</v>
      </c>
      <c r="BH18" s="130" t="str">
        <f t="shared" si="24"/>
        <v/>
      </c>
      <c r="BI18" s="130" t="str">
        <f t="shared" si="25"/>
        <v/>
      </c>
      <c r="BJ18" s="130" t="str">
        <f t="shared" si="26"/>
        <v/>
      </c>
      <c r="BK18" s="130">
        <f t="shared" si="27"/>
        <v>1</v>
      </c>
      <c r="BL18" s="130" t="str">
        <f t="shared" si="28"/>
        <v/>
      </c>
      <c r="BM18" s="130">
        <f t="shared" si="29"/>
        <v>1</v>
      </c>
      <c r="BN18" s="130" t="str">
        <f t="shared" si="30"/>
        <v/>
      </c>
      <c r="BO18" s="130">
        <f t="shared" si="31"/>
        <v>1</v>
      </c>
      <c r="BP18" s="130">
        <f t="shared" si="32"/>
        <v>1</v>
      </c>
      <c r="BQ18" s="130" t="str">
        <f t="shared" si="33"/>
        <v/>
      </c>
      <c r="BR18" s="130">
        <f t="shared" si="34"/>
        <v>1</v>
      </c>
      <c r="BS18" s="130" t="str">
        <f t="shared" si="35"/>
        <v/>
      </c>
      <c r="BT18" s="130">
        <f t="shared" si="36"/>
        <v>1</v>
      </c>
      <c r="BU18" s="130" t="str">
        <f t="shared" si="37"/>
        <v/>
      </c>
      <c r="BV18" s="130">
        <f t="shared" si="38"/>
        <v>1</v>
      </c>
      <c r="BW18" s="130" t="str">
        <f t="shared" si="39"/>
        <v/>
      </c>
      <c r="BX18" s="130">
        <f t="shared" si="40"/>
        <v>1</v>
      </c>
      <c r="BY18" s="130" t="str">
        <f t="shared" si="41"/>
        <v/>
      </c>
      <c r="BZ18" s="130" t="str">
        <f t="shared" si="42"/>
        <v/>
      </c>
      <c r="CA18" s="130">
        <f t="shared" si="43"/>
        <v>1</v>
      </c>
      <c r="CB18" s="130">
        <f t="shared" si="44"/>
        <v>1</v>
      </c>
      <c r="CC18" s="130" t="str">
        <f t="shared" si="45"/>
        <v/>
      </c>
      <c r="CD18" s="130">
        <f t="shared" si="46"/>
        <v>1</v>
      </c>
      <c r="CE18" s="130">
        <f t="shared" si="47"/>
        <v>1</v>
      </c>
      <c r="CF18" s="130">
        <f t="shared" si="48"/>
        <v>1</v>
      </c>
      <c r="CG18" s="130" t="str">
        <f t="shared" si="49"/>
        <v/>
      </c>
      <c r="CH18" s="130">
        <f t="shared" si="50"/>
        <v>1</v>
      </c>
      <c r="CI18" s="130">
        <f t="shared" si="51"/>
        <v>1</v>
      </c>
      <c r="CJ18" s="130" t="str">
        <f t="shared" si="52"/>
        <v/>
      </c>
      <c r="CK18" s="130" t="str">
        <f t="shared" si="53"/>
        <v/>
      </c>
      <c r="CL18" s="130" t="str">
        <f t="shared" si="54"/>
        <v/>
      </c>
      <c r="CM18" s="130" t="str">
        <f t="shared" si="55"/>
        <v/>
      </c>
      <c r="CN18" s="130" t="str">
        <f t="shared" si="56"/>
        <v/>
      </c>
      <c r="CO18" s="130" t="str">
        <f t="shared" si="57"/>
        <v/>
      </c>
      <c r="CP18" s="130" t="str">
        <f t="shared" si="58"/>
        <v/>
      </c>
    </row>
    <row r="19" spans="1:94" s="90" customFormat="1" ht="16.149999999999999" customHeight="1" x14ac:dyDescent="0.3">
      <c r="A19" s="737"/>
      <c r="B19" s="93">
        <v>3</v>
      </c>
      <c r="C19" s="241" t="s">
        <v>343</v>
      </c>
      <c r="D19" s="492" t="s">
        <v>13</v>
      </c>
      <c r="E19" s="492" t="s">
        <v>88</v>
      </c>
      <c r="F19" s="492" t="s">
        <v>86</v>
      </c>
      <c r="G19" s="492" t="s">
        <v>94</v>
      </c>
      <c r="H19" s="492" t="s">
        <v>523</v>
      </c>
      <c r="I19" s="492" t="s">
        <v>57</v>
      </c>
      <c r="J19" s="492" t="s">
        <v>96</v>
      </c>
      <c r="K19" s="492" t="s">
        <v>81</v>
      </c>
      <c r="L19" s="492" t="s">
        <v>92</v>
      </c>
      <c r="M19" s="492" t="s">
        <v>78</v>
      </c>
      <c r="N19" s="492" t="s">
        <v>95</v>
      </c>
      <c r="O19" s="492" t="s">
        <v>59</v>
      </c>
      <c r="P19" s="492" t="s">
        <v>48</v>
      </c>
      <c r="Q19" s="492" t="s">
        <v>82</v>
      </c>
      <c r="R19" s="492" t="s">
        <v>73</v>
      </c>
      <c r="S19" s="492" t="s">
        <v>519</v>
      </c>
      <c r="T19" s="492" t="s">
        <v>190</v>
      </c>
      <c r="U19" s="492" t="s">
        <v>97</v>
      </c>
      <c r="V19" s="492" t="s">
        <v>236</v>
      </c>
      <c r="W19" s="492" t="s">
        <v>47</v>
      </c>
      <c r="X19" s="492" t="s">
        <v>80</v>
      </c>
      <c r="Y19" s="492" t="s">
        <v>45</v>
      </c>
      <c r="Z19" s="492" t="s">
        <v>46</v>
      </c>
      <c r="AA19" s="492" t="s">
        <v>93</v>
      </c>
      <c r="AB19" s="492" t="s">
        <v>91</v>
      </c>
      <c r="AC19" s="492" t="s">
        <v>49</v>
      </c>
      <c r="AD19" s="492" t="s">
        <v>83</v>
      </c>
      <c r="AE19" s="493" t="s">
        <v>76</v>
      </c>
      <c r="AF19" s="130">
        <f t="shared" si="63"/>
        <v>1</v>
      </c>
      <c r="AG19" s="130">
        <f t="shared" si="59"/>
        <v>1</v>
      </c>
      <c r="AH19" s="130">
        <f t="shared" si="60"/>
        <v>1</v>
      </c>
      <c r="AI19" s="130">
        <f t="shared" si="61"/>
        <v>1</v>
      </c>
      <c r="AJ19" s="130">
        <f t="shared" si="62"/>
        <v>1</v>
      </c>
      <c r="AK19" s="130">
        <f t="shared" si="1"/>
        <v>1</v>
      </c>
      <c r="AL19" s="130" t="str">
        <f t="shared" si="2"/>
        <v/>
      </c>
      <c r="AM19" s="130" t="str">
        <f t="shared" si="3"/>
        <v/>
      </c>
      <c r="AN19" s="130" t="str">
        <f t="shared" si="4"/>
        <v/>
      </c>
      <c r="AO19" s="130" t="str">
        <f t="shared" si="5"/>
        <v/>
      </c>
      <c r="AP19" s="130" t="str">
        <f t="shared" si="6"/>
        <v/>
      </c>
      <c r="AQ19" s="130" t="str">
        <f t="shared" si="7"/>
        <v/>
      </c>
      <c r="AR19" s="130" t="str">
        <f t="shared" si="8"/>
        <v/>
      </c>
      <c r="AS19" s="130">
        <f t="shared" si="9"/>
        <v>1</v>
      </c>
      <c r="AT19" s="130">
        <f t="shared" si="10"/>
        <v>1</v>
      </c>
      <c r="AU19" s="130" t="str">
        <f t="shared" si="11"/>
        <v/>
      </c>
      <c r="AV19" s="130">
        <f t="shared" si="12"/>
        <v>1</v>
      </c>
      <c r="AW19" s="130" t="str">
        <f t="shared" si="13"/>
        <v/>
      </c>
      <c r="AX19" s="130" t="str">
        <f t="shared" si="14"/>
        <v/>
      </c>
      <c r="AY19" s="130" t="str">
        <f t="shared" si="15"/>
        <v/>
      </c>
      <c r="AZ19" s="130" t="str">
        <f t="shared" si="16"/>
        <v/>
      </c>
      <c r="BA19" s="130" t="str">
        <f t="shared" si="17"/>
        <v/>
      </c>
      <c r="BB19" s="130" t="str">
        <f t="shared" si="18"/>
        <v/>
      </c>
      <c r="BC19" s="130" t="str">
        <f t="shared" si="19"/>
        <v/>
      </c>
      <c r="BD19" s="130" t="str">
        <f t="shared" si="20"/>
        <v/>
      </c>
      <c r="BE19" s="130" t="str">
        <f t="shared" si="21"/>
        <v/>
      </c>
      <c r="BF19" s="130" t="str">
        <f t="shared" si="22"/>
        <v/>
      </c>
      <c r="BG19" s="130" t="str">
        <f t="shared" si="23"/>
        <v/>
      </c>
      <c r="BH19" s="130">
        <f t="shared" si="24"/>
        <v>1</v>
      </c>
      <c r="BI19" s="130" t="str">
        <f t="shared" si="25"/>
        <v/>
      </c>
      <c r="BJ19" s="130" t="str">
        <f t="shared" si="26"/>
        <v/>
      </c>
      <c r="BK19" s="130">
        <f t="shared" si="27"/>
        <v>1</v>
      </c>
      <c r="BL19" s="130" t="str">
        <f t="shared" si="28"/>
        <v/>
      </c>
      <c r="BM19" s="130">
        <f t="shared" si="29"/>
        <v>1</v>
      </c>
      <c r="BN19" s="130" t="str">
        <f t="shared" si="30"/>
        <v/>
      </c>
      <c r="BO19" s="130">
        <f t="shared" si="31"/>
        <v>1</v>
      </c>
      <c r="BP19" s="130">
        <f t="shared" si="32"/>
        <v>1</v>
      </c>
      <c r="BQ19" s="130" t="str">
        <f t="shared" si="33"/>
        <v/>
      </c>
      <c r="BR19" s="130">
        <f t="shared" si="34"/>
        <v>1</v>
      </c>
      <c r="BS19" s="130" t="str">
        <f t="shared" si="35"/>
        <v/>
      </c>
      <c r="BT19" s="130">
        <f t="shared" si="36"/>
        <v>1</v>
      </c>
      <c r="BU19" s="130" t="str">
        <f t="shared" si="37"/>
        <v/>
      </c>
      <c r="BV19" s="130">
        <f t="shared" si="38"/>
        <v>1</v>
      </c>
      <c r="BW19" s="130" t="str">
        <f t="shared" si="39"/>
        <v/>
      </c>
      <c r="BX19" s="130">
        <f t="shared" si="40"/>
        <v>1</v>
      </c>
      <c r="BY19" s="130" t="str">
        <f t="shared" si="41"/>
        <v/>
      </c>
      <c r="BZ19" s="130" t="str">
        <f t="shared" si="42"/>
        <v/>
      </c>
      <c r="CA19" s="130">
        <f t="shared" si="43"/>
        <v>1</v>
      </c>
      <c r="CB19" s="130">
        <f t="shared" si="44"/>
        <v>1</v>
      </c>
      <c r="CC19" s="130" t="str">
        <f t="shared" si="45"/>
        <v/>
      </c>
      <c r="CD19" s="130">
        <f t="shared" si="46"/>
        <v>1</v>
      </c>
      <c r="CE19" s="130">
        <f t="shared" si="47"/>
        <v>1</v>
      </c>
      <c r="CF19" s="130">
        <f t="shared" si="48"/>
        <v>1</v>
      </c>
      <c r="CG19" s="130">
        <f t="shared" si="49"/>
        <v>1</v>
      </c>
      <c r="CH19" s="130">
        <f t="shared" si="50"/>
        <v>1</v>
      </c>
      <c r="CI19" s="130">
        <f t="shared" si="51"/>
        <v>1</v>
      </c>
      <c r="CJ19" s="130" t="str">
        <f t="shared" si="52"/>
        <v/>
      </c>
      <c r="CK19" s="130" t="str">
        <f t="shared" si="53"/>
        <v/>
      </c>
      <c r="CL19" s="130" t="str">
        <f t="shared" si="54"/>
        <v/>
      </c>
      <c r="CM19" s="130" t="str">
        <f t="shared" si="55"/>
        <v/>
      </c>
      <c r="CN19" s="130" t="str">
        <f t="shared" si="56"/>
        <v/>
      </c>
      <c r="CO19" s="130" t="str">
        <f t="shared" si="57"/>
        <v/>
      </c>
      <c r="CP19" s="130" t="str">
        <f t="shared" si="58"/>
        <v/>
      </c>
    </row>
    <row r="20" spans="1:94" s="90" customFormat="1" ht="16.149999999999999" customHeight="1" x14ac:dyDescent="0.3">
      <c r="A20" s="737"/>
      <c r="B20" s="93">
        <v>4</v>
      </c>
      <c r="C20" s="241" t="s">
        <v>344</v>
      </c>
      <c r="D20" s="492" t="s">
        <v>13</v>
      </c>
      <c r="E20" s="492" t="s">
        <v>82</v>
      </c>
      <c r="F20" s="492" t="s">
        <v>81</v>
      </c>
      <c r="G20" s="492" t="s">
        <v>59</v>
      </c>
      <c r="H20" s="492" t="s">
        <v>54</v>
      </c>
      <c r="I20" s="492" t="s">
        <v>72</v>
      </c>
      <c r="J20" s="492" t="s">
        <v>78</v>
      </c>
      <c r="K20" s="492" t="s">
        <v>96</v>
      </c>
      <c r="L20" s="492" t="s">
        <v>92</v>
      </c>
      <c r="M20" s="492" t="s">
        <v>93</v>
      </c>
      <c r="N20" s="492" t="s">
        <v>48</v>
      </c>
      <c r="O20" s="492" t="s">
        <v>95</v>
      </c>
      <c r="P20" s="492" t="s">
        <v>83</v>
      </c>
      <c r="Q20" s="492" t="s">
        <v>525</v>
      </c>
      <c r="R20" s="492" t="s">
        <v>97</v>
      </c>
      <c r="S20" s="492" t="s">
        <v>519</v>
      </c>
      <c r="T20" s="492" t="s">
        <v>73</v>
      </c>
      <c r="U20" s="492" t="s">
        <v>57</v>
      </c>
      <c r="V20" s="492" t="s">
        <v>77</v>
      </c>
      <c r="W20" s="492" t="s">
        <v>47</v>
      </c>
      <c r="X20" s="492" t="s">
        <v>55</v>
      </c>
      <c r="Y20" s="492" t="s">
        <v>86</v>
      </c>
      <c r="Z20" s="492" t="s">
        <v>46</v>
      </c>
      <c r="AA20" s="492" t="s">
        <v>62</v>
      </c>
      <c r="AB20" s="492" t="s">
        <v>91</v>
      </c>
      <c r="AC20" s="492" t="s">
        <v>49</v>
      </c>
      <c r="AD20" s="492" t="s">
        <v>80</v>
      </c>
      <c r="AE20" s="493" t="s">
        <v>88</v>
      </c>
      <c r="AF20" s="130">
        <f t="shared" si="63"/>
        <v>1</v>
      </c>
      <c r="AG20" s="130" t="str">
        <f t="shared" si="59"/>
        <v/>
      </c>
      <c r="AH20" s="130">
        <f t="shared" si="60"/>
        <v>1</v>
      </c>
      <c r="AI20" s="130">
        <f t="shared" si="61"/>
        <v>1</v>
      </c>
      <c r="AJ20" s="130">
        <f t="shared" si="62"/>
        <v>1</v>
      </c>
      <c r="AK20" s="130">
        <f t="shared" si="1"/>
        <v>1</v>
      </c>
      <c r="AL20" s="130" t="str">
        <f t="shared" si="2"/>
        <v/>
      </c>
      <c r="AM20" s="130" t="str">
        <f t="shared" si="3"/>
        <v/>
      </c>
      <c r="AN20" s="130" t="str">
        <f t="shared" si="4"/>
        <v/>
      </c>
      <c r="AO20" s="130" t="str">
        <f t="shared" si="5"/>
        <v/>
      </c>
      <c r="AP20" s="130">
        <f t="shared" si="6"/>
        <v>1</v>
      </c>
      <c r="AQ20" s="130">
        <f t="shared" si="7"/>
        <v>1</v>
      </c>
      <c r="AR20" s="130" t="str">
        <f t="shared" si="8"/>
        <v/>
      </c>
      <c r="AS20" s="130" t="str">
        <f t="shared" si="9"/>
        <v/>
      </c>
      <c r="AT20" s="130">
        <f t="shared" si="10"/>
        <v>1</v>
      </c>
      <c r="AU20" s="130" t="str">
        <f t="shared" si="11"/>
        <v/>
      </c>
      <c r="AV20" s="130">
        <f t="shared" si="12"/>
        <v>1</v>
      </c>
      <c r="AW20" s="130" t="str">
        <f t="shared" si="13"/>
        <v/>
      </c>
      <c r="AX20" s="130" t="str">
        <f t="shared" si="14"/>
        <v/>
      </c>
      <c r="AY20" s="130">
        <f t="shared" si="15"/>
        <v>1</v>
      </c>
      <c r="AZ20" s="130" t="str">
        <f t="shared" si="16"/>
        <v/>
      </c>
      <c r="BA20" s="130" t="str">
        <f t="shared" si="17"/>
        <v/>
      </c>
      <c r="BB20" s="130" t="str">
        <f t="shared" si="18"/>
        <v/>
      </c>
      <c r="BC20" s="130" t="str">
        <f t="shared" si="19"/>
        <v/>
      </c>
      <c r="BD20" s="130" t="str">
        <f t="shared" si="20"/>
        <v/>
      </c>
      <c r="BE20" s="130" t="str">
        <f t="shared" si="21"/>
        <v/>
      </c>
      <c r="BF20" s="130" t="str">
        <f t="shared" si="22"/>
        <v/>
      </c>
      <c r="BG20" s="130">
        <f t="shared" si="23"/>
        <v>1</v>
      </c>
      <c r="BH20" s="130">
        <f t="shared" si="24"/>
        <v>1</v>
      </c>
      <c r="BI20" s="130" t="str">
        <f t="shared" si="25"/>
        <v/>
      </c>
      <c r="BJ20" s="130" t="str">
        <f t="shared" si="26"/>
        <v/>
      </c>
      <c r="BK20" s="130" t="str">
        <f t="shared" si="27"/>
        <v/>
      </c>
      <c r="BL20" s="130">
        <f t="shared" si="28"/>
        <v>1</v>
      </c>
      <c r="BM20" s="130">
        <f t="shared" si="29"/>
        <v>1</v>
      </c>
      <c r="BN20" s="130" t="str">
        <f t="shared" si="30"/>
        <v/>
      </c>
      <c r="BO20" s="130">
        <f t="shared" si="31"/>
        <v>1</v>
      </c>
      <c r="BP20" s="130">
        <f t="shared" si="32"/>
        <v>1</v>
      </c>
      <c r="BQ20" s="130" t="str">
        <f t="shared" si="33"/>
        <v/>
      </c>
      <c r="BR20" s="130">
        <f t="shared" si="34"/>
        <v>1</v>
      </c>
      <c r="BS20" s="130" t="str">
        <f t="shared" si="35"/>
        <v/>
      </c>
      <c r="BT20" s="130">
        <f t="shared" si="36"/>
        <v>1</v>
      </c>
      <c r="BU20" s="130" t="str">
        <f t="shared" si="37"/>
        <v/>
      </c>
      <c r="BV20" s="130">
        <f t="shared" si="38"/>
        <v>1</v>
      </c>
      <c r="BW20" s="130" t="str">
        <f t="shared" si="39"/>
        <v/>
      </c>
      <c r="BX20" s="130">
        <f t="shared" si="40"/>
        <v>1</v>
      </c>
      <c r="BY20" s="130" t="str">
        <f t="shared" si="41"/>
        <v/>
      </c>
      <c r="BZ20" s="130" t="str">
        <f t="shared" si="42"/>
        <v/>
      </c>
      <c r="CA20" s="130">
        <f t="shared" si="43"/>
        <v>1</v>
      </c>
      <c r="CB20" s="130">
        <f t="shared" si="44"/>
        <v>1</v>
      </c>
      <c r="CC20" s="130" t="str">
        <f t="shared" si="45"/>
        <v/>
      </c>
      <c r="CD20" s="130">
        <f t="shared" si="46"/>
        <v>1</v>
      </c>
      <c r="CE20" s="130" t="str">
        <f t="shared" si="47"/>
        <v/>
      </c>
      <c r="CF20" s="130" t="str">
        <f t="shared" si="48"/>
        <v/>
      </c>
      <c r="CG20" s="130">
        <f t="shared" si="49"/>
        <v>1</v>
      </c>
      <c r="CH20" s="130">
        <f t="shared" si="50"/>
        <v>1</v>
      </c>
      <c r="CI20" s="130">
        <f t="shared" si="51"/>
        <v>1</v>
      </c>
      <c r="CJ20" s="130" t="str">
        <f t="shared" si="52"/>
        <v/>
      </c>
      <c r="CK20" s="130" t="str">
        <f t="shared" si="53"/>
        <v/>
      </c>
      <c r="CL20" s="130" t="str">
        <f t="shared" si="54"/>
        <v/>
      </c>
      <c r="CM20" s="130" t="str">
        <f t="shared" si="55"/>
        <v/>
      </c>
      <c r="CN20" s="130" t="str">
        <f t="shared" si="56"/>
        <v/>
      </c>
      <c r="CO20" s="130" t="str">
        <f t="shared" si="57"/>
        <v/>
      </c>
      <c r="CP20" s="130" t="str">
        <f t="shared" si="58"/>
        <v/>
      </c>
    </row>
    <row r="21" spans="1:94" s="90" customFormat="1" ht="16.149999999999999" customHeight="1" x14ac:dyDescent="0.3">
      <c r="A21" s="738"/>
      <c r="B21" s="94">
        <v>5</v>
      </c>
      <c r="C21" s="242" t="s">
        <v>345</v>
      </c>
      <c r="D21" s="494" t="s">
        <v>95</v>
      </c>
      <c r="E21" s="494" t="s">
        <v>59</v>
      </c>
      <c r="F21" s="494" t="s">
        <v>88</v>
      </c>
      <c r="G21" s="494" t="s">
        <v>92</v>
      </c>
      <c r="H21" s="494" t="s">
        <v>524</v>
      </c>
      <c r="I21" s="494" t="s">
        <v>72</v>
      </c>
      <c r="J21" s="494" t="s">
        <v>86</v>
      </c>
      <c r="K21" s="494" t="s">
        <v>81</v>
      </c>
      <c r="L21" s="494" t="s">
        <v>57</v>
      </c>
      <c r="M21" s="494" t="s">
        <v>525</v>
      </c>
      <c r="N21" s="494" t="s">
        <v>528</v>
      </c>
      <c r="O21" s="494" t="s">
        <v>13</v>
      </c>
      <c r="P21" s="494" t="s">
        <v>82</v>
      </c>
      <c r="Q21" s="494" t="s">
        <v>55</v>
      </c>
      <c r="R21" s="494" t="s">
        <v>48</v>
      </c>
      <c r="S21" s="494" t="s">
        <v>46</v>
      </c>
      <c r="T21" s="494" t="s">
        <v>73</v>
      </c>
      <c r="U21" s="494" t="s">
        <v>76</v>
      </c>
      <c r="V21" s="494" t="s">
        <v>49</v>
      </c>
      <c r="W21" s="494" t="s">
        <v>523</v>
      </c>
      <c r="X21" s="494" t="s">
        <v>93</v>
      </c>
      <c r="Y21" s="494" t="s">
        <v>236</v>
      </c>
      <c r="Z21" s="494" t="s">
        <v>96</v>
      </c>
      <c r="AA21" s="494" t="s">
        <v>62</v>
      </c>
      <c r="AB21" s="494" t="s">
        <v>47</v>
      </c>
      <c r="AC21" s="494" t="s">
        <v>83</v>
      </c>
      <c r="AD21" s="494" t="s">
        <v>80</v>
      </c>
      <c r="AE21" s="495" t="s">
        <v>190</v>
      </c>
      <c r="AF21" s="130">
        <f t="shared" si="63"/>
        <v>1</v>
      </c>
      <c r="AG21" s="130" t="str">
        <f t="shared" si="59"/>
        <v/>
      </c>
      <c r="AH21" s="130">
        <f t="shared" si="60"/>
        <v>1</v>
      </c>
      <c r="AI21" s="130">
        <f t="shared" si="61"/>
        <v>1</v>
      </c>
      <c r="AJ21" s="130">
        <f t="shared" si="62"/>
        <v>1</v>
      </c>
      <c r="AK21" s="130">
        <f t="shared" si="1"/>
        <v>1</v>
      </c>
      <c r="AL21" s="130" t="str">
        <f t="shared" si="2"/>
        <v/>
      </c>
      <c r="AM21" s="130" t="str">
        <f t="shared" si="3"/>
        <v/>
      </c>
      <c r="AN21" s="130" t="str">
        <f t="shared" si="4"/>
        <v/>
      </c>
      <c r="AO21" s="130" t="str">
        <f t="shared" si="5"/>
        <v/>
      </c>
      <c r="AP21" s="130" t="str">
        <f t="shared" si="6"/>
        <v/>
      </c>
      <c r="AQ21" s="130">
        <f t="shared" si="7"/>
        <v>1</v>
      </c>
      <c r="AR21" s="130" t="str">
        <f t="shared" si="8"/>
        <v/>
      </c>
      <c r="AS21" s="130">
        <f t="shared" si="9"/>
        <v>1</v>
      </c>
      <c r="AT21" s="130">
        <f t="shared" si="10"/>
        <v>1</v>
      </c>
      <c r="AU21" s="130" t="str">
        <f t="shared" si="11"/>
        <v/>
      </c>
      <c r="AV21" s="130">
        <f t="shared" si="12"/>
        <v>1</v>
      </c>
      <c r="AW21" s="130" t="str">
        <f t="shared" si="13"/>
        <v/>
      </c>
      <c r="AX21" s="130" t="str">
        <f t="shared" si="14"/>
        <v/>
      </c>
      <c r="AY21" s="130">
        <f t="shared" si="15"/>
        <v>1</v>
      </c>
      <c r="AZ21" s="130" t="str">
        <f t="shared" si="16"/>
        <v/>
      </c>
      <c r="BA21" s="130" t="str">
        <f t="shared" si="17"/>
        <v/>
      </c>
      <c r="BB21" s="130" t="str">
        <f t="shared" si="18"/>
        <v/>
      </c>
      <c r="BC21" s="130" t="str">
        <f t="shared" si="19"/>
        <v/>
      </c>
      <c r="BD21" s="130" t="str">
        <f t="shared" si="20"/>
        <v/>
      </c>
      <c r="BE21" s="130" t="str">
        <f t="shared" si="21"/>
        <v/>
      </c>
      <c r="BF21" s="130" t="str">
        <f t="shared" si="22"/>
        <v/>
      </c>
      <c r="BG21" s="130">
        <f t="shared" si="23"/>
        <v>1</v>
      </c>
      <c r="BH21" s="130">
        <f t="shared" si="24"/>
        <v>1</v>
      </c>
      <c r="BI21" s="130" t="str">
        <f t="shared" si="25"/>
        <v/>
      </c>
      <c r="BJ21" s="130" t="str">
        <f t="shared" si="26"/>
        <v/>
      </c>
      <c r="BK21" s="130">
        <f t="shared" si="27"/>
        <v>1</v>
      </c>
      <c r="BL21" s="130" t="str">
        <f t="shared" si="28"/>
        <v/>
      </c>
      <c r="BM21" s="130" t="str">
        <f t="shared" si="29"/>
        <v/>
      </c>
      <c r="BN21" s="130" t="str">
        <f t="shared" si="30"/>
        <v/>
      </c>
      <c r="BO21" s="130">
        <f t="shared" si="31"/>
        <v>1</v>
      </c>
      <c r="BP21" s="130">
        <f t="shared" si="32"/>
        <v>1</v>
      </c>
      <c r="BQ21" s="130" t="str">
        <f t="shared" si="33"/>
        <v/>
      </c>
      <c r="BR21" s="130">
        <f t="shared" si="34"/>
        <v>1</v>
      </c>
      <c r="BS21" s="130" t="str">
        <f t="shared" si="35"/>
        <v/>
      </c>
      <c r="BT21" s="130">
        <f t="shared" si="36"/>
        <v>1</v>
      </c>
      <c r="BU21" s="130" t="str">
        <f t="shared" si="37"/>
        <v/>
      </c>
      <c r="BV21" s="130">
        <f t="shared" si="38"/>
        <v>1</v>
      </c>
      <c r="BW21" s="130" t="str">
        <f t="shared" si="39"/>
        <v/>
      </c>
      <c r="BX21" s="130">
        <f t="shared" si="40"/>
        <v>1</v>
      </c>
      <c r="BY21" s="130" t="str">
        <f t="shared" si="41"/>
        <v/>
      </c>
      <c r="BZ21" s="130" t="str">
        <f t="shared" si="42"/>
        <v/>
      </c>
      <c r="CA21" s="130" t="str">
        <f t="shared" si="43"/>
        <v/>
      </c>
      <c r="CB21" s="130">
        <f t="shared" si="44"/>
        <v>1</v>
      </c>
      <c r="CC21" s="130" t="str">
        <f t="shared" si="45"/>
        <v/>
      </c>
      <c r="CD21" s="130">
        <f t="shared" si="46"/>
        <v>1</v>
      </c>
      <c r="CE21" s="130">
        <f t="shared" si="47"/>
        <v>1</v>
      </c>
      <c r="CF21" s="130" t="str">
        <f t="shared" si="48"/>
        <v/>
      </c>
      <c r="CG21" s="130">
        <f t="shared" si="49"/>
        <v>1</v>
      </c>
      <c r="CH21" s="130">
        <f t="shared" si="50"/>
        <v>1</v>
      </c>
      <c r="CI21" s="130" t="str">
        <f t="shared" si="51"/>
        <v/>
      </c>
      <c r="CJ21" s="130" t="str">
        <f t="shared" si="52"/>
        <v/>
      </c>
      <c r="CK21" s="130" t="str">
        <f t="shared" si="53"/>
        <v/>
      </c>
      <c r="CL21" s="130" t="str">
        <f t="shared" si="54"/>
        <v/>
      </c>
      <c r="CM21" s="130" t="str">
        <f t="shared" si="55"/>
        <v/>
      </c>
      <c r="CN21" s="130" t="str">
        <f t="shared" si="56"/>
        <v/>
      </c>
      <c r="CO21" s="130" t="str">
        <f t="shared" si="57"/>
        <v/>
      </c>
      <c r="CP21" s="130" t="str">
        <f t="shared" si="58"/>
        <v/>
      </c>
    </row>
    <row r="22" spans="1:94" s="95" customFormat="1" ht="16.149999999999999" customHeight="1" x14ac:dyDescent="0.3">
      <c r="A22" s="739">
        <v>5</v>
      </c>
      <c r="B22" s="322">
        <v>1</v>
      </c>
      <c r="C22" s="319" t="s">
        <v>301</v>
      </c>
      <c r="D22" s="496" t="s">
        <v>72</v>
      </c>
      <c r="E22" s="496" t="s">
        <v>86</v>
      </c>
      <c r="F22" s="496" t="s">
        <v>521</v>
      </c>
      <c r="G22" s="496" t="s">
        <v>75</v>
      </c>
      <c r="H22" s="496" t="s">
        <v>524</v>
      </c>
      <c r="I22" s="496" t="s">
        <v>57</v>
      </c>
      <c r="J22" s="496" t="s">
        <v>67</v>
      </c>
      <c r="K22" s="496" t="s">
        <v>96</v>
      </c>
      <c r="L22" s="496" t="s">
        <v>520</v>
      </c>
      <c r="M22" s="496" t="s">
        <v>93</v>
      </c>
      <c r="N22" s="496" t="s">
        <v>48</v>
      </c>
      <c r="O22" s="496" t="s">
        <v>13</v>
      </c>
      <c r="P22" s="496" t="s">
        <v>94</v>
      </c>
      <c r="Q22" s="496" t="s">
        <v>60</v>
      </c>
      <c r="R22" s="496" t="s">
        <v>522</v>
      </c>
      <c r="S22" s="496" t="s">
        <v>64</v>
      </c>
      <c r="T22" s="496" t="s">
        <v>82</v>
      </c>
      <c r="U22" s="496" t="s">
        <v>79</v>
      </c>
      <c r="V22" s="496" t="s">
        <v>523</v>
      </c>
      <c r="W22" s="496" t="s">
        <v>518</v>
      </c>
      <c r="X22" s="496" t="s">
        <v>80</v>
      </c>
      <c r="Y22" s="496" t="s">
        <v>236</v>
      </c>
      <c r="Z22" s="496" t="s">
        <v>46</v>
      </c>
      <c r="AA22" s="496" t="s">
        <v>62</v>
      </c>
      <c r="AB22" s="496" t="s">
        <v>76</v>
      </c>
      <c r="AC22" s="496" t="s">
        <v>49</v>
      </c>
      <c r="AD22" s="496" t="s">
        <v>55</v>
      </c>
      <c r="AE22" s="497" t="s">
        <v>85</v>
      </c>
      <c r="AF22" s="131">
        <f t="shared" si="63"/>
        <v>1</v>
      </c>
      <c r="AG22" s="131" t="str">
        <f t="shared" si="59"/>
        <v/>
      </c>
      <c r="AH22" s="131">
        <f t="shared" si="60"/>
        <v>1</v>
      </c>
      <c r="AI22" s="131" t="str">
        <f t="shared" si="61"/>
        <v/>
      </c>
      <c r="AJ22" s="131">
        <f t="shared" si="62"/>
        <v>1</v>
      </c>
      <c r="AK22" s="131">
        <f t="shared" si="1"/>
        <v>1</v>
      </c>
      <c r="AL22" s="131" t="str">
        <f t="shared" si="2"/>
        <v/>
      </c>
      <c r="AM22" s="131" t="str">
        <f t="shared" si="3"/>
        <v/>
      </c>
      <c r="AN22" s="131" t="str">
        <f t="shared" si="4"/>
        <v/>
      </c>
      <c r="AO22" s="131" t="str">
        <f t="shared" si="5"/>
        <v/>
      </c>
      <c r="AP22" s="131" t="str">
        <f t="shared" si="6"/>
        <v/>
      </c>
      <c r="AQ22" s="131">
        <f t="shared" si="7"/>
        <v>1</v>
      </c>
      <c r="AR22" s="131" t="str">
        <f t="shared" si="8"/>
        <v/>
      </c>
      <c r="AS22" s="131">
        <f t="shared" si="9"/>
        <v>1</v>
      </c>
      <c r="AT22" s="131">
        <f t="shared" si="10"/>
        <v>1</v>
      </c>
      <c r="AU22" s="131" t="str">
        <f t="shared" si="11"/>
        <v/>
      </c>
      <c r="AV22" s="131" t="str">
        <f t="shared" si="12"/>
        <v/>
      </c>
      <c r="AW22" s="131">
        <f t="shared" si="13"/>
        <v>1</v>
      </c>
      <c r="AX22" s="131" t="str">
        <f t="shared" si="14"/>
        <v/>
      </c>
      <c r="AY22" s="131">
        <f t="shared" si="15"/>
        <v>1</v>
      </c>
      <c r="AZ22" s="131" t="str">
        <f t="shared" si="16"/>
        <v/>
      </c>
      <c r="BA22" s="131">
        <f t="shared" si="17"/>
        <v>1</v>
      </c>
      <c r="BB22" s="131" t="str">
        <f t="shared" si="18"/>
        <v/>
      </c>
      <c r="BC22" s="131">
        <f t="shared" si="19"/>
        <v>1</v>
      </c>
      <c r="BD22" s="131" t="str">
        <f t="shared" si="20"/>
        <v/>
      </c>
      <c r="BE22" s="131" t="str">
        <f t="shared" si="21"/>
        <v/>
      </c>
      <c r="BF22" s="131" t="str">
        <f t="shared" si="22"/>
        <v/>
      </c>
      <c r="BG22" s="131">
        <f t="shared" si="23"/>
        <v>1</v>
      </c>
      <c r="BH22" s="131" t="str">
        <f t="shared" si="24"/>
        <v/>
      </c>
      <c r="BI22" s="131" t="str">
        <f t="shared" si="25"/>
        <v/>
      </c>
      <c r="BJ22" s="131">
        <f t="shared" si="26"/>
        <v>1</v>
      </c>
      <c r="BK22" s="131">
        <f t="shared" si="27"/>
        <v>1</v>
      </c>
      <c r="BL22" s="131" t="str">
        <f t="shared" si="28"/>
        <v/>
      </c>
      <c r="BM22" s="131" t="str">
        <f t="shared" si="29"/>
        <v/>
      </c>
      <c r="BN22" s="131">
        <f t="shared" si="30"/>
        <v>1</v>
      </c>
      <c r="BO22" s="131">
        <f t="shared" si="31"/>
        <v>1</v>
      </c>
      <c r="BP22" s="131" t="str">
        <f t="shared" si="32"/>
        <v/>
      </c>
      <c r="BQ22" s="131" t="str">
        <f t="shared" si="33"/>
        <v/>
      </c>
      <c r="BR22" s="131">
        <f t="shared" si="34"/>
        <v>1</v>
      </c>
      <c r="BS22" s="131" t="str">
        <f t="shared" si="35"/>
        <v/>
      </c>
      <c r="BT22" s="131" t="str">
        <f t="shared" si="36"/>
        <v/>
      </c>
      <c r="BU22" s="131" t="str">
        <f t="shared" si="37"/>
        <v/>
      </c>
      <c r="BV22" s="131" t="str">
        <f t="shared" si="38"/>
        <v/>
      </c>
      <c r="BW22" s="131">
        <f t="shared" si="39"/>
        <v>1</v>
      </c>
      <c r="BX22" s="131">
        <f t="shared" si="40"/>
        <v>1</v>
      </c>
      <c r="BY22" s="131" t="str">
        <f t="shared" si="41"/>
        <v/>
      </c>
      <c r="BZ22" s="131" t="str">
        <f t="shared" si="42"/>
        <v/>
      </c>
      <c r="CA22" s="131" t="str">
        <f t="shared" si="43"/>
        <v/>
      </c>
      <c r="CB22" s="131" t="str">
        <f t="shared" si="44"/>
        <v/>
      </c>
      <c r="CC22" s="131" t="str">
        <f t="shared" si="45"/>
        <v/>
      </c>
      <c r="CD22" s="131">
        <f t="shared" si="46"/>
        <v>1</v>
      </c>
      <c r="CE22" s="131" t="str">
        <f t="shared" si="47"/>
        <v/>
      </c>
      <c r="CF22" s="131">
        <f t="shared" si="48"/>
        <v>1</v>
      </c>
      <c r="CG22" s="131" t="str">
        <f t="shared" si="49"/>
        <v/>
      </c>
      <c r="CH22" s="131">
        <f t="shared" si="50"/>
        <v>1</v>
      </c>
      <c r="CI22" s="131" t="str">
        <f t="shared" si="51"/>
        <v/>
      </c>
      <c r="CJ22" s="131" t="str">
        <f t="shared" si="52"/>
        <v/>
      </c>
      <c r="CK22" s="131" t="str">
        <f t="shared" si="53"/>
        <v/>
      </c>
      <c r="CL22" s="131" t="str">
        <f t="shared" si="54"/>
        <v/>
      </c>
      <c r="CM22" s="131" t="str">
        <f t="shared" si="55"/>
        <v/>
      </c>
      <c r="CN22" s="131" t="str">
        <f t="shared" si="56"/>
        <v/>
      </c>
      <c r="CO22" s="131" t="str">
        <f t="shared" si="57"/>
        <v/>
      </c>
      <c r="CP22" s="131" t="str">
        <f t="shared" si="58"/>
        <v/>
      </c>
    </row>
    <row r="23" spans="1:94" s="95" customFormat="1" ht="16.149999999999999" customHeight="1" x14ac:dyDescent="0.3">
      <c r="A23" s="740"/>
      <c r="B23" s="323">
        <v>2</v>
      </c>
      <c r="C23" s="320" t="s">
        <v>302</v>
      </c>
      <c r="D23" s="498" t="s">
        <v>86</v>
      </c>
      <c r="E23" s="498" t="s">
        <v>82</v>
      </c>
      <c r="F23" s="498" t="s">
        <v>94</v>
      </c>
      <c r="G23" s="498" t="s">
        <v>92</v>
      </c>
      <c r="H23" s="498" t="s">
        <v>524</v>
      </c>
      <c r="I23" s="498" t="s">
        <v>79</v>
      </c>
      <c r="J23" s="498" t="s">
        <v>72</v>
      </c>
      <c r="K23" s="498" t="s">
        <v>64</v>
      </c>
      <c r="L23" s="498" t="s">
        <v>57</v>
      </c>
      <c r="M23" s="498" t="s">
        <v>522</v>
      </c>
      <c r="N23" s="498" t="s">
        <v>60</v>
      </c>
      <c r="O23" s="498" t="s">
        <v>13</v>
      </c>
      <c r="P23" s="498" t="s">
        <v>48</v>
      </c>
      <c r="Q23" s="498" t="s">
        <v>67</v>
      </c>
      <c r="R23" s="498" t="s">
        <v>85</v>
      </c>
      <c r="S23" s="498" t="s">
        <v>55</v>
      </c>
      <c r="T23" s="498" t="s">
        <v>520</v>
      </c>
      <c r="U23" s="498" t="s">
        <v>49</v>
      </c>
      <c r="V23" s="498" t="s">
        <v>523</v>
      </c>
      <c r="W23" s="498" t="s">
        <v>518</v>
      </c>
      <c r="X23" s="498" t="s">
        <v>80</v>
      </c>
      <c r="Y23" s="498" t="s">
        <v>96</v>
      </c>
      <c r="Z23" s="498" t="s">
        <v>58</v>
      </c>
      <c r="AA23" s="498" t="s">
        <v>62</v>
      </c>
      <c r="AB23" s="498" t="s">
        <v>76</v>
      </c>
      <c r="AC23" s="498" t="s">
        <v>236</v>
      </c>
      <c r="AD23" s="498" t="s">
        <v>526</v>
      </c>
      <c r="AE23" s="499" t="s">
        <v>46</v>
      </c>
      <c r="AF23" s="131">
        <f t="shared" si="63"/>
        <v>1</v>
      </c>
      <c r="AG23" s="131" t="str">
        <f t="shared" si="59"/>
        <v/>
      </c>
      <c r="AH23" s="131">
        <f t="shared" si="60"/>
        <v>1</v>
      </c>
      <c r="AI23" s="131" t="str">
        <f t="shared" si="61"/>
        <v/>
      </c>
      <c r="AJ23" s="131">
        <f t="shared" si="62"/>
        <v>1</v>
      </c>
      <c r="AK23" s="131">
        <f t="shared" si="1"/>
        <v>1</v>
      </c>
      <c r="AL23" s="131" t="str">
        <f t="shared" si="2"/>
        <v/>
      </c>
      <c r="AM23" s="131" t="str">
        <f t="shared" si="3"/>
        <v/>
      </c>
      <c r="AN23" s="131" t="str">
        <f t="shared" si="4"/>
        <v/>
      </c>
      <c r="AO23" s="131" t="str">
        <f t="shared" si="5"/>
        <v/>
      </c>
      <c r="AP23" s="131" t="str">
        <f t="shared" si="6"/>
        <v/>
      </c>
      <c r="AQ23" s="131">
        <f t="shared" si="7"/>
        <v>1</v>
      </c>
      <c r="AR23" s="131" t="str">
        <f t="shared" si="8"/>
        <v/>
      </c>
      <c r="AS23" s="131">
        <f t="shared" si="9"/>
        <v>1</v>
      </c>
      <c r="AT23" s="131">
        <f t="shared" si="10"/>
        <v>1</v>
      </c>
      <c r="AU23" s="131">
        <f t="shared" si="11"/>
        <v>1</v>
      </c>
      <c r="AV23" s="131" t="str">
        <f t="shared" si="12"/>
        <v/>
      </c>
      <c r="AW23" s="131">
        <f t="shared" si="13"/>
        <v>1</v>
      </c>
      <c r="AX23" s="131" t="str">
        <f t="shared" si="14"/>
        <v/>
      </c>
      <c r="AY23" s="131">
        <f t="shared" si="15"/>
        <v>1</v>
      </c>
      <c r="AZ23" s="131" t="str">
        <f t="shared" si="16"/>
        <v/>
      </c>
      <c r="BA23" s="131">
        <f t="shared" si="17"/>
        <v>1</v>
      </c>
      <c r="BB23" s="131" t="str">
        <f t="shared" si="18"/>
        <v/>
      </c>
      <c r="BC23" s="131">
        <f t="shared" si="19"/>
        <v>1</v>
      </c>
      <c r="BD23" s="131" t="str">
        <f t="shared" si="20"/>
        <v/>
      </c>
      <c r="BE23" s="131" t="str">
        <f t="shared" si="21"/>
        <v/>
      </c>
      <c r="BF23" s="131" t="str">
        <f t="shared" si="22"/>
        <v/>
      </c>
      <c r="BG23" s="131">
        <f t="shared" si="23"/>
        <v>1</v>
      </c>
      <c r="BH23" s="131" t="str">
        <f t="shared" si="24"/>
        <v/>
      </c>
      <c r="BI23" s="131" t="str">
        <f t="shared" si="25"/>
        <v/>
      </c>
      <c r="BJ23" s="131" t="str">
        <f t="shared" si="26"/>
        <v/>
      </c>
      <c r="BK23" s="131">
        <f t="shared" si="27"/>
        <v>1</v>
      </c>
      <c r="BL23" s="131" t="str">
        <f t="shared" si="28"/>
        <v/>
      </c>
      <c r="BM23" s="131" t="str">
        <f t="shared" si="29"/>
        <v/>
      </c>
      <c r="BN23" s="131">
        <f t="shared" si="30"/>
        <v>1</v>
      </c>
      <c r="BO23" s="131">
        <f t="shared" si="31"/>
        <v>1</v>
      </c>
      <c r="BP23" s="131" t="str">
        <f t="shared" si="32"/>
        <v/>
      </c>
      <c r="BQ23" s="131" t="str">
        <f t="shared" si="33"/>
        <v/>
      </c>
      <c r="BR23" s="131">
        <f t="shared" si="34"/>
        <v>1</v>
      </c>
      <c r="BS23" s="131" t="str">
        <f t="shared" si="35"/>
        <v/>
      </c>
      <c r="BT23" s="131" t="str">
        <f t="shared" si="36"/>
        <v/>
      </c>
      <c r="BU23" s="131" t="str">
        <f t="shared" si="37"/>
        <v/>
      </c>
      <c r="BV23" s="131" t="str">
        <f t="shared" si="38"/>
        <v/>
      </c>
      <c r="BW23" s="131">
        <f t="shared" si="39"/>
        <v>1</v>
      </c>
      <c r="BX23" s="131">
        <f t="shared" si="40"/>
        <v>1</v>
      </c>
      <c r="BY23" s="131" t="str">
        <f t="shared" si="41"/>
        <v/>
      </c>
      <c r="BZ23" s="131" t="str">
        <f t="shared" si="42"/>
        <v/>
      </c>
      <c r="CA23" s="131" t="str">
        <f t="shared" si="43"/>
        <v/>
      </c>
      <c r="CB23" s="131">
        <f t="shared" si="44"/>
        <v>1</v>
      </c>
      <c r="CC23" s="131" t="str">
        <f t="shared" si="45"/>
        <v/>
      </c>
      <c r="CD23" s="131" t="str">
        <f t="shared" si="46"/>
        <v/>
      </c>
      <c r="CE23" s="131" t="str">
        <f t="shared" si="47"/>
        <v/>
      </c>
      <c r="CF23" s="131">
        <f t="shared" si="48"/>
        <v>1</v>
      </c>
      <c r="CG23" s="131" t="str">
        <f t="shared" si="49"/>
        <v/>
      </c>
      <c r="CH23" s="131">
        <f t="shared" si="50"/>
        <v>1</v>
      </c>
      <c r="CI23" s="131" t="str">
        <f t="shared" si="51"/>
        <v/>
      </c>
      <c r="CJ23" s="131" t="str">
        <f t="shared" si="52"/>
        <v/>
      </c>
      <c r="CK23" s="131" t="str">
        <f t="shared" si="53"/>
        <v/>
      </c>
      <c r="CL23" s="131" t="str">
        <f t="shared" si="54"/>
        <v/>
      </c>
      <c r="CM23" s="131" t="str">
        <f t="shared" si="55"/>
        <v/>
      </c>
      <c r="CN23" s="131" t="str">
        <f t="shared" si="56"/>
        <v/>
      </c>
      <c r="CO23" s="131" t="str">
        <f t="shared" si="57"/>
        <v/>
      </c>
      <c r="CP23" s="131" t="str">
        <f t="shared" si="58"/>
        <v/>
      </c>
    </row>
    <row r="24" spans="1:94" s="95" customFormat="1" ht="16.149999999999999" customHeight="1" x14ac:dyDescent="0.3">
      <c r="A24" s="740"/>
      <c r="B24" s="323">
        <v>3</v>
      </c>
      <c r="C24" s="320" t="s">
        <v>343</v>
      </c>
      <c r="D24" s="498" t="s">
        <v>57</v>
      </c>
      <c r="E24" s="498" t="s">
        <v>82</v>
      </c>
      <c r="F24" s="498" t="s">
        <v>54</v>
      </c>
      <c r="G24" s="498" t="s">
        <v>92</v>
      </c>
      <c r="H24" s="498" t="s">
        <v>523</v>
      </c>
      <c r="I24" s="498" t="s">
        <v>96</v>
      </c>
      <c r="J24" s="498" t="s">
        <v>72</v>
      </c>
      <c r="K24" s="498" t="s">
        <v>64</v>
      </c>
      <c r="L24" s="498" t="s">
        <v>93</v>
      </c>
      <c r="M24" s="498" t="s">
        <v>13</v>
      </c>
      <c r="N24" s="498" t="s">
        <v>60</v>
      </c>
      <c r="O24" s="498" t="s">
        <v>80</v>
      </c>
      <c r="P24" s="498" t="s">
        <v>48</v>
      </c>
      <c r="Q24" s="498" t="s">
        <v>67</v>
      </c>
      <c r="R24" s="498" t="s">
        <v>63</v>
      </c>
      <c r="S24" s="498" t="s">
        <v>94</v>
      </c>
      <c r="T24" s="498" t="s">
        <v>520</v>
      </c>
      <c r="U24" s="498" t="s">
        <v>49</v>
      </c>
      <c r="V24" s="498" t="s">
        <v>85</v>
      </c>
      <c r="W24" s="498" t="s">
        <v>236</v>
      </c>
      <c r="X24" s="498" t="s">
        <v>55</v>
      </c>
      <c r="Y24" s="498" t="s">
        <v>86</v>
      </c>
      <c r="Z24" s="498" t="s">
        <v>518</v>
      </c>
      <c r="AA24" s="498" t="s">
        <v>62</v>
      </c>
      <c r="AB24" s="498" t="s">
        <v>76</v>
      </c>
      <c r="AC24" s="498" t="s">
        <v>189</v>
      </c>
      <c r="AD24" s="498" t="s">
        <v>521</v>
      </c>
      <c r="AE24" s="499" t="s">
        <v>46</v>
      </c>
      <c r="AF24" s="131">
        <f t="shared" si="63"/>
        <v>1</v>
      </c>
      <c r="AG24" s="131" t="str">
        <f t="shared" si="59"/>
        <v/>
      </c>
      <c r="AH24" s="131">
        <f t="shared" si="60"/>
        <v>1</v>
      </c>
      <c r="AI24" s="131" t="str">
        <f t="shared" si="61"/>
        <v/>
      </c>
      <c r="AJ24" s="131">
        <f t="shared" si="62"/>
        <v>1</v>
      </c>
      <c r="AK24" s="131">
        <f t="shared" si="1"/>
        <v>1</v>
      </c>
      <c r="AL24" s="131" t="str">
        <f t="shared" si="2"/>
        <v/>
      </c>
      <c r="AM24" s="131" t="str">
        <f t="shared" si="3"/>
        <v/>
      </c>
      <c r="AN24" s="131" t="str">
        <f t="shared" si="4"/>
        <v/>
      </c>
      <c r="AO24" s="131" t="str">
        <f t="shared" si="5"/>
        <v/>
      </c>
      <c r="AP24" s="131">
        <f t="shared" si="6"/>
        <v>1</v>
      </c>
      <c r="AQ24" s="131">
        <f t="shared" si="7"/>
        <v>1</v>
      </c>
      <c r="AR24" s="131" t="str">
        <f t="shared" si="8"/>
        <v/>
      </c>
      <c r="AS24" s="131">
        <f t="shared" si="9"/>
        <v>1</v>
      </c>
      <c r="AT24" s="131">
        <f t="shared" si="10"/>
        <v>1</v>
      </c>
      <c r="AU24" s="131" t="str">
        <f t="shared" si="11"/>
        <v/>
      </c>
      <c r="AV24" s="131" t="str">
        <f t="shared" si="12"/>
        <v/>
      </c>
      <c r="AW24" s="131">
        <f t="shared" si="13"/>
        <v>1</v>
      </c>
      <c r="AX24" s="131" t="str">
        <f t="shared" si="14"/>
        <v/>
      </c>
      <c r="AY24" s="131">
        <f t="shared" si="15"/>
        <v>1</v>
      </c>
      <c r="AZ24" s="131">
        <f t="shared" si="16"/>
        <v>1</v>
      </c>
      <c r="BA24" s="131">
        <f t="shared" si="17"/>
        <v>1</v>
      </c>
      <c r="BB24" s="131" t="str">
        <f t="shared" si="18"/>
        <v/>
      </c>
      <c r="BC24" s="131">
        <f t="shared" si="19"/>
        <v>1</v>
      </c>
      <c r="BD24" s="131" t="str">
        <f t="shared" si="20"/>
        <v/>
      </c>
      <c r="BE24" s="131" t="str">
        <f t="shared" si="21"/>
        <v/>
      </c>
      <c r="BF24" s="131" t="str">
        <f t="shared" si="22"/>
        <v/>
      </c>
      <c r="BG24" s="131">
        <f t="shared" si="23"/>
        <v>1</v>
      </c>
      <c r="BH24" s="131" t="str">
        <f t="shared" si="24"/>
        <v/>
      </c>
      <c r="BI24" s="131" t="str">
        <f t="shared" si="25"/>
        <v/>
      </c>
      <c r="BJ24" s="131" t="str">
        <f t="shared" si="26"/>
        <v/>
      </c>
      <c r="BK24" s="131">
        <f t="shared" si="27"/>
        <v>1</v>
      </c>
      <c r="BL24" s="131" t="str">
        <f t="shared" si="28"/>
        <v/>
      </c>
      <c r="BM24" s="131" t="str">
        <f t="shared" si="29"/>
        <v/>
      </c>
      <c r="BN24" s="131" t="str">
        <f t="shared" si="30"/>
        <v/>
      </c>
      <c r="BO24" s="131">
        <f t="shared" si="31"/>
        <v>1</v>
      </c>
      <c r="BP24" s="131" t="str">
        <f t="shared" si="32"/>
        <v/>
      </c>
      <c r="BQ24" s="131">
        <f t="shared" si="33"/>
        <v>1</v>
      </c>
      <c r="BR24" s="131">
        <f t="shared" si="34"/>
        <v>1</v>
      </c>
      <c r="BS24" s="131" t="str">
        <f t="shared" si="35"/>
        <v/>
      </c>
      <c r="BT24" s="131" t="str">
        <f t="shared" si="36"/>
        <v/>
      </c>
      <c r="BU24" s="131" t="str">
        <f t="shared" si="37"/>
        <v/>
      </c>
      <c r="BV24" s="131" t="str">
        <f t="shared" si="38"/>
        <v/>
      </c>
      <c r="BW24" s="131">
        <f t="shared" si="39"/>
        <v>1</v>
      </c>
      <c r="BX24" s="131">
        <f t="shared" si="40"/>
        <v>1</v>
      </c>
      <c r="BY24" s="131" t="str">
        <f t="shared" si="41"/>
        <v/>
      </c>
      <c r="BZ24" s="131" t="str">
        <f t="shared" si="42"/>
        <v/>
      </c>
      <c r="CA24" s="131" t="str">
        <f t="shared" si="43"/>
        <v/>
      </c>
      <c r="CB24" s="131">
        <f t="shared" si="44"/>
        <v>1</v>
      </c>
      <c r="CC24" s="131" t="str">
        <f t="shared" si="45"/>
        <v/>
      </c>
      <c r="CD24" s="131">
        <f t="shared" si="46"/>
        <v>1</v>
      </c>
      <c r="CE24" s="131" t="str">
        <f t="shared" si="47"/>
        <v/>
      </c>
      <c r="CF24" s="131">
        <f t="shared" si="48"/>
        <v>1</v>
      </c>
      <c r="CG24" s="131" t="str">
        <f t="shared" si="49"/>
        <v/>
      </c>
      <c r="CH24" s="131">
        <f t="shared" si="50"/>
        <v>1</v>
      </c>
      <c r="CI24" s="131" t="str">
        <f t="shared" si="51"/>
        <v/>
      </c>
      <c r="CJ24" s="131" t="str">
        <f t="shared" si="52"/>
        <v/>
      </c>
      <c r="CK24" s="131" t="str">
        <f t="shared" si="53"/>
        <v/>
      </c>
      <c r="CL24" s="131" t="str">
        <f t="shared" si="54"/>
        <v/>
      </c>
      <c r="CM24" s="131" t="str">
        <f t="shared" si="55"/>
        <v/>
      </c>
      <c r="CN24" s="131" t="str">
        <f t="shared" si="56"/>
        <v/>
      </c>
      <c r="CO24" s="131" t="str">
        <f t="shared" si="57"/>
        <v/>
      </c>
      <c r="CP24" s="131" t="str">
        <f t="shared" si="58"/>
        <v/>
      </c>
    </row>
    <row r="25" spans="1:94" s="95" customFormat="1" ht="16.149999999999999" customHeight="1" x14ac:dyDescent="0.3">
      <c r="A25" s="740"/>
      <c r="B25" s="323">
        <v>4</v>
      </c>
      <c r="C25" s="320" t="s">
        <v>344</v>
      </c>
      <c r="D25" s="498" t="s">
        <v>67</v>
      </c>
      <c r="E25" s="498" t="s">
        <v>524</v>
      </c>
      <c r="F25" s="498" t="s">
        <v>92</v>
      </c>
      <c r="G25" s="498" t="s">
        <v>526</v>
      </c>
      <c r="H25" s="498" t="s">
        <v>94</v>
      </c>
      <c r="I25" s="498" t="s">
        <v>57</v>
      </c>
      <c r="J25" s="498" t="s">
        <v>60</v>
      </c>
      <c r="K25" s="498" t="s">
        <v>70</v>
      </c>
      <c r="L25" s="498" t="s">
        <v>79</v>
      </c>
      <c r="M25" s="498" t="s">
        <v>13</v>
      </c>
      <c r="N25" s="498" t="s">
        <v>85</v>
      </c>
      <c r="O25" s="498" t="s">
        <v>80</v>
      </c>
      <c r="P25" s="498" t="s">
        <v>48</v>
      </c>
      <c r="Q25" s="498" t="s">
        <v>82</v>
      </c>
      <c r="R25" s="498" t="s">
        <v>518</v>
      </c>
      <c r="S25" s="498" t="s">
        <v>46</v>
      </c>
      <c r="T25" s="498" t="s">
        <v>53</v>
      </c>
      <c r="U25" s="498" t="s">
        <v>76</v>
      </c>
      <c r="V25" s="498" t="s">
        <v>49</v>
      </c>
      <c r="W25" s="498" t="s">
        <v>72</v>
      </c>
      <c r="X25" s="498" t="s">
        <v>55</v>
      </c>
      <c r="Y25" s="498" t="s">
        <v>523</v>
      </c>
      <c r="Z25" s="498" t="s">
        <v>96</v>
      </c>
      <c r="AA25" s="498" t="s">
        <v>236</v>
      </c>
      <c r="AB25" s="498" t="s">
        <v>93</v>
      </c>
      <c r="AC25" s="498" t="s">
        <v>189</v>
      </c>
      <c r="AD25" s="498" t="s">
        <v>521</v>
      </c>
      <c r="AE25" s="499" t="s">
        <v>62</v>
      </c>
      <c r="AF25" s="131">
        <f t="shared" si="63"/>
        <v>1</v>
      </c>
      <c r="AG25" s="131" t="str">
        <f t="shared" si="59"/>
        <v/>
      </c>
      <c r="AH25" s="131">
        <f t="shared" si="60"/>
        <v>1</v>
      </c>
      <c r="AI25" s="131" t="str">
        <f t="shared" si="61"/>
        <v/>
      </c>
      <c r="AJ25" s="131">
        <f t="shared" si="62"/>
        <v>1</v>
      </c>
      <c r="AK25" s="131">
        <f t="shared" si="1"/>
        <v>1</v>
      </c>
      <c r="AL25" s="131" t="str">
        <f t="shared" si="2"/>
        <v/>
      </c>
      <c r="AM25" s="131" t="str">
        <f t="shared" si="3"/>
        <v/>
      </c>
      <c r="AN25" s="131" t="str">
        <f t="shared" si="4"/>
        <v/>
      </c>
      <c r="AO25" s="131">
        <f t="shared" si="5"/>
        <v>1</v>
      </c>
      <c r="AP25" s="131" t="str">
        <f t="shared" si="6"/>
        <v/>
      </c>
      <c r="AQ25" s="131">
        <f t="shared" si="7"/>
        <v>1</v>
      </c>
      <c r="AR25" s="131" t="str">
        <f t="shared" si="8"/>
        <v/>
      </c>
      <c r="AS25" s="131">
        <f t="shared" si="9"/>
        <v>1</v>
      </c>
      <c r="AT25" s="131">
        <f t="shared" si="10"/>
        <v>1</v>
      </c>
      <c r="AU25" s="131" t="str">
        <f t="shared" si="11"/>
        <v/>
      </c>
      <c r="AV25" s="131" t="str">
        <f t="shared" si="12"/>
        <v/>
      </c>
      <c r="AW25" s="131">
        <f t="shared" si="13"/>
        <v>1</v>
      </c>
      <c r="AX25" s="131" t="str">
        <f t="shared" si="14"/>
        <v/>
      </c>
      <c r="AY25" s="131">
        <f t="shared" si="15"/>
        <v>1</v>
      </c>
      <c r="AZ25" s="131" t="str">
        <f t="shared" si="16"/>
        <v/>
      </c>
      <c r="BA25" s="131" t="str">
        <f t="shared" si="17"/>
        <v/>
      </c>
      <c r="BB25" s="131" t="str">
        <f t="shared" si="18"/>
        <v/>
      </c>
      <c r="BC25" s="131">
        <f t="shared" si="19"/>
        <v>1</v>
      </c>
      <c r="BD25" s="131" t="str">
        <f t="shared" si="20"/>
        <v/>
      </c>
      <c r="BE25" s="131" t="str">
        <f t="shared" si="21"/>
        <v/>
      </c>
      <c r="BF25" s="131">
        <f t="shared" si="22"/>
        <v>1</v>
      </c>
      <c r="BG25" s="131">
        <f t="shared" si="23"/>
        <v>1</v>
      </c>
      <c r="BH25" s="131" t="str">
        <f t="shared" si="24"/>
        <v/>
      </c>
      <c r="BI25" s="131" t="str">
        <f t="shared" si="25"/>
        <v/>
      </c>
      <c r="BJ25" s="131" t="str">
        <f t="shared" si="26"/>
        <v/>
      </c>
      <c r="BK25" s="131">
        <f t="shared" si="27"/>
        <v>1</v>
      </c>
      <c r="BL25" s="131" t="str">
        <f t="shared" si="28"/>
        <v/>
      </c>
      <c r="BM25" s="131" t="str">
        <f t="shared" si="29"/>
        <v/>
      </c>
      <c r="BN25" s="131">
        <f t="shared" si="30"/>
        <v>1</v>
      </c>
      <c r="BO25" s="131">
        <f t="shared" si="31"/>
        <v>1</v>
      </c>
      <c r="BP25" s="131" t="str">
        <f t="shared" si="32"/>
        <v/>
      </c>
      <c r="BQ25" s="131">
        <f t="shared" si="33"/>
        <v>1</v>
      </c>
      <c r="BR25" s="131">
        <f t="shared" si="34"/>
        <v>1</v>
      </c>
      <c r="BS25" s="131" t="str">
        <f t="shared" si="35"/>
        <v/>
      </c>
      <c r="BT25" s="131" t="str">
        <f t="shared" si="36"/>
        <v/>
      </c>
      <c r="BU25" s="131" t="str">
        <f t="shared" si="37"/>
        <v/>
      </c>
      <c r="BV25" s="131" t="str">
        <f t="shared" si="38"/>
        <v/>
      </c>
      <c r="BW25" s="131">
        <f t="shared" si="39"/>
        <v>1</v>
      </c>
      <c r="BX25" s="131" t="str">
        <f t="shared" si="40"/>
        <v/>
      </c>
      <c r="BY25" s="131" t="str">
        <f t="shared" si="41"/>
        <v/>
      </c>
      <c r="BZ25" s="131" t="str">
        <f t="shared" si="42"/>
        <v/>
      </c>
      <c r="CA25" s="131" t="str">
        <f t="shared" si="43"/>
        <v/>
      </c>
      <c r="CB25" s="131">
        <f t="shared" si="44"/>
        <v>1</v>
      </c>
      <c r="CC25" s="131" t="str">
        <f t="shared" si="45"/>
        <v/>
      </c>
      <c r="CD25" s="131">
        <f t="shared" si="46"/>
        <v>1</v>
      </c>
      <c r="CE25" s="131" t="str">
        <f t="shared" si="47"/>
        <v/>
      </c>
      <c r="CF25" s="131">
        <f t="shared" si="48"/>
        <v>1</v>
      </c>
      <c r="CG25" s="131" t="str">
        <f t="shared" si="49"/>
        <v/>
      </c>
      <c r="CH25" s="131">
        <f t="shared" si="50"/>
        <v>1</v>
      </c>
      <c r="CI25" s="131" t="str">
        <f t="shared" si="51"/>
        <v/>
      </c>
      <c r="CJ25" s="131" t="str">
        <f t="shared" si="52"/>
        <v/>
      </c>
      <c r="CK25" s="131" t="str">
        <f t="shared" si="53"/>
        <v/>
      </c>
      <c r="CL25" s="131" t="str">
        <f t="shared" si="54"/>
        <v/>
      </c>
      <c r="CM25" s="131" t="str">
        <f t="shared" si="55"/>
        <v/>
      </c>
      <c r="CN25" s="131" t="str">
        <f t="shared" si="56"/>
        <v/>
      </c>
      <c r="CO25" s="131" t="str">
        <f t="shared" si="57"/>
        <v/>
      </c>
      <c r="CP25" s="131" t="str">
        <f t="shared" si="58"/>
        <v/>
      </c>
    </row>
    <row r="26" spans="1:94" s="95" customFormat="1" ht="16.149999999999999" customHeight="1" x14ac:dyDescent="0.3">
      <c r="A26" s="741"/>
      <c r="B26" s="324">
        <v>5</v>
      </c>
      <c r="C26" s="321" t="s">
        <v>345</v>
      </c>
      <c r="D26" s="500" t="s">
        <v>67</v>
      </c>
      <c r="E26" s="500" t="s">
        <v>524</v>
      </c>
      <c r="F26" s="500" t="s">
        <v>92</v>
      </c>
      <c r="G26" s="500" t="s">
        <v>94</v>
      </c>
      <c r="H26" s="500" t="s">
        <v>58</v>
      </c>
      <c r="I26" s="500" t="s">
        <v>48</v>
      </c>
      <c r="J26" s="500" t="s">
        <v>86</v>
      </c>
      <c r="K26" s="500" t="s">
        <v>70</v>
      </c>
      <c r="L26" s="500" t="s">
        <v>79</v>
      </c>
      <c r="M26" s="500" t="s">
        <v>55</v>
      </c>
      <c r="N26" s="500" t="s">
        <v>60</v>
      </c>
      <c r="O26" s="500" t="s">
        <v>13</v>
      </c>
      <c r="P26" s="500" t="s">
        <v>63</v>
      </c>
      <c r="Q26" s="500" t="s">
        <v>82</v>
      </c>
      <c r="R26" s="500" t="s">
        <v>518</v>
      </c>
      <c r="S26" s="500" t="s">
        <v>46</v>
      </c>
      <c r="T26" s="500" t="s">
        <v>53</v>
      </c>
      <c r="U26" s="500" t="s">
        <v>76</v>
      </c>
      <c r="V26" s="500" t="s">
        <v>49</v>
      </c>
      <c r="W26" s="500" t="s">
        <v>72</v>
      </c>
      <c r="X26" s="500" t="s">
        <v>80</v>
      </c>
      <c r="Y26" s="500" t="s">
        <v>523</v>
      </c>
      <c r="Z26" s="500" t="s">
        <v>236</v>
      </c>
      <c r="AA26" s="500" t="s">
        <v>93</v>
      </c>
      <c r="AB26" s="500" t="s">
        <v>85</v>
      </c>
      <c r="AC26" s="500" t="s">
        <v>189</v>
      </c>
      <c r="AD26" s="500" t="s">
        <v>96</v>
      </c>
      <c r="AE26" s="501" t="s">
        <v>62</v>
      </c>
      <c r="AF26" s="131">
        <f t="shared" si="63"/>
        <v>1</v>
      </c>
      <c r="AG26" s="131" t="str">
        <f t="shared" si="59"/>
        <v/>
      </c>
      <c r="AH26" s="131">
        <f t="shared" si="60"/>
        <v>1</v>
      </c>
      <c r="AI26" s="131" t="str">
        <f t="shared" si="61"/>
        <v/>
      </c>
      <c r="AJ26" s="131">
        <f t="shared" si="62"/>
        <v>1</v>
      </c>
      <c r="AK26" s="131">
        <f t="shared" si="1"/>
        <v>1</v>
      </c>
      <c r="AL26" s="131" t="str">
        <f t="shared" si="2"/>
        <v/>
      </c>
      <c r="AM26" s="131" t="str">
        <f t="shared" si="3"/>
        <v/>
      </c>
      <c r="AN26" s="131" t="str">
        <f t="shared" si="4"/>
        <v/>
      </c>
      <c r="AO26" s="131">
        <f t="shared" si="5"/>
        <v>1</v>
      </c>
      <c r="AP26" s="131" t="str">
        <f t="shared" si="6"/>
        <v/>
      </c>
      <c r="AQ26" s="131">
        <f t="shared" si="7"/>
        <v>1</v>
      </c>
      <c r="AR26" s="131" t="str">
        <f t="shared" si="8"/>
        <v/>
      </c>
      <c r="AS26" s="131">
        <f t="shared" si="9"/>
        <v>1</v>
      </c>
      <c r="AT26" s="131" t="str">
        <f t="shared" si="10"/>
        <v/>
      </c>
      <c r="AU26" s="131">
        <f t="shared" si="11"/>
        <v>1</v>
      </c>
      <c r="AV26" s="131" t="str">
        <f t="shared" si="12"/>
        <v/>
      </c>
      <c r="AW26" s="131">
        <f t="shared" si="13"/>
        <v>1</v>
      </c>
      <c r="AX26" s="131" t="str">
        <f t="shared" si="14"/>
        <v/>
      </c>
      <c r="AY26" s="131">
        <f t="shared" si="15"/>
        <v>1</v>
      </c>
      <c r="AZ26" s="131">
        <f t="shared" si="16"/>
        <v>1</v>
      </c>
      <c r="BA26" s="131" t="str">
        <f t="shared" si="17"/>
        <v/>
      </c>
      <c r="BB26" s="131" t="str">
        <f t="shared" si="18"/>
        <v/>
      </c>
      <c r="BC26" s="131">
        <f t="shared" si="19"/>
        <v>1</v>
      </c>
      <c r="BD26" s="131" t="str">
        <f t="shared" si="20"/>
        <v/>
      </c>
      <c r="BE26" s="131" t="str">
        <f t="shared" si="21"/>
        <v/>
      </c>
      <c r="BF26" s="131">
        <f t="shared" si="22"/>
        <v>1</v>
      </c>
      <c r="BG26" s="131">
        <f t="shared" si="23"/>
        <v>1</v>
      </c>
      <c r="BH26" s="131" t="str">
        <f t="shared" si="24"/>
        <v/>
      </c>
      <c r="BI26" s="131" t="str">
        <f t="shared" si="25"/>
        <v/>
      </c>
      <c r="BJ26" s="131" t="str">
        <f t="shared" si="26"/>
        <v/>
      </c>
      <c r="BK26" s="131">
        <f t="shared" si="27"/>
        <v>1</v>
      </c>
      <c r="BL26" s="131" t="str">
        <f t="shared" si="28"/>
        <v/>
      </c>
      <c r="BM26" s="131" t="str">
        <f t="shared" si="29"/>
        <v/>
      </c>
      <c r="BN26" s="131">
        <f t="shared" si="30"/>
        <v>1</v>
      </c>
      <c r="BO26" s="131">
        <f t="shared" si="31"/>
        <v>1</v>
      </c>
      <c r="BP26" s="131" t="str">
        <f t="shared" si="32"/>
        <v/>
      </c>
      <c r="BQ26" s="131">
        <f t="shared" si="33"/>
        <v>1</v>
      </c>
      <c r="BR26" s="131">
        <f t="shared" si="34"/>
        <v>1</v>
      </c>
      <c r="BS26" s="131" t="str">
        <f t="shared" si="35"/>
        <v/>
      </c>
      <c r="BT26" s="131" t="str">
        <f t="shared" si="36"/>
        <v/>
      </c>
      <c r="BU26" s="131" t="str">
        <f t="shared" si="37"/>
        <v/>
      </c>
      <c r="BV26" s="131" t="str">
        <f t="shared" si="38"/>
        <v/>
      </c>
      <c r="BW26" s="131">
        <f t="shared" si="39"/>
        <v>1</v>
      </c>
      <c r="BX26" s="131">
        <f t="shared" si="40"/>
        <v>1</v>
      </c>
      <c r="BY26" s="131" t="str">
        <f t="shared" si="41"/>
        <v/>
      </c>
      <c r="BZ26" s="131" t="str">
        <f t="shared" si="42"/>
        <v/>
      </c>
      <c r="CA26" s="131" t="str">
        <f t="shared" si="43"/>
        <v/>
      </c>
      <c r="CB26" s="131">
        <f t="shared" si="44"/>
        <v>1</v>
      </c>
      <c r="CC26" s="131" t="str">
        <f t="shared" si="45"/>
        <v/>
      </c>
      <c r="CD26" s="131">
        <f t="shared" si="46"/>
        <v>1</v>
      </c>
      <c r="CE26" s="131" t="str">
        <f t="shared" si="47"/>
        <v/>
      </c>
      <c r="CF26" s="131">
        <f t="shared" si="48"/>
        <v>1</v>
      </c>
      <c r="CG26" s="131" t="str">
        <f t="shared" si="49"/>
        <v/>
      </c>
      <c r="CH26" s="131">
        <f t="shared" si="50"/>
        <v>1</v>
      </c>
      <c r="CI26" s="131" t="str">
        <f t="shared" si="51"/>
        <v/>
      </c>
      <c r="CJ26" s="131" t="str">
        <f t="shared" si="52"/>
        <v/>
      </c>
      <c r="CK26" s="131" t="str">
        <f t="shared" si="53"/>
        <v/>
      </c>
      <c r="CL26" s="131" t="str">
        <f t="shared" si="54"/>
        <v/>
      </c>
      <c r="CM26" s="131" t="str">
        <f t="shared" si="55"/>
        <v/>
      </c>
      <c r="CN26" s="131" t="str">
        <f t="shared" si="56"/>
        <v/>
      </c>
      <c r="CO26" s="131" t="str">
        <f t="shared" si="57"/>
        <v/>
      </c>
      <c r="CP26" s="131" t="str">
        <f t="shared" si="58"/>
        <v/>
      </c>
    </row>
    <row r="27" spans="1:94" s="90" customFormat="1" ht="16.149999999999999" customHeight="1" x14ac:dyDescent="0.3">
      <c r="A27" s="736">
        <v>6</v>
      </c>
      <c r="B27" s="92">
        <v>1</v>
      </c>
      <c r="C27" s="240" t="s">
        <v>301</v>
      </c>
      <c r="D27" s="502" t="s">
        <v>81</v>
      </c>
      <c r="E27" s="502" t="s">
        <v>59</v>
      </c>
      <c r="F27" s="502" t="s">
        <v>524</v>
      </c>
      <c r="G27" s="502" t="s">
        <v>50</v>
      </c>
      <c r="H27" s="502" t="s">
        <v>58</v>
      </c>
      <c r="I27" s="502" t="s">
        <v>498</v>
      </c>
      <c r="J27" s="502" t="s">
        <v>60</v>
      </c>
      <c r="K27" s="502" t="s">
        <v>51</v>
      </c>
      <c r="L27" s="502" t="s">
        <v>83</v>
      </c>
      <c r="M27" s="502" t="s">
        <v>93</v>
      </c>
      <c r="N27" s="502" t="s">
        <v>78</v>
      </c>
      <c r="O27" s="502" t="s">
        <v>95</v>
      </c>
      <c r="P27" s="502" t="s">
        <v>79</v>
      </c>
      <c r="Q27" s="502" t="s">
        <v>67</v>
      </c>
      <c r="R27" s="502" t="s">
        <v>63</v>
      </c>
      <c r="S27" s="502" t="s">
        <v>85</v>
      </c>
      <c r="T27" s="502" t="s">
        <v>53</v>
      </c>
      <c r="U27" s="502" t="s">
        <v>97</v>
      </c>
      <c r="V27" s="502" t="s">
        <v>73</v>
      </c>
      <c r="W27" s="502" t="s">
        <v>47</v>
      </c>
      <c r="X27" s="502" t="s">
        <v>55</v>
      </c>
      <c r="Y27" s="502" t="s">
        <v>68</v>
      </c>
      <c r="Z27" s="502" t="s">
        <v>518</v>
      </c>
      <c r="AA27" s="502" t="s">
        <v>45</v>
      </c>
      <c r="AB27" s="502" t="s">
        <v>61</v>
      </c>
      <c r="AC27" s="502" t="s">
        <v>90</v>
      </c>
      <c r="AD27" s="502" t="s">
        <v>80</v>
      </c>
      <c r="AE27" s="503" t="s">
        <v>190</v>
      </c>
      <c r="AF27" s="130" t="str">
        <f t="shared" si="63"/>
        <v/>
      </c>
      <c r="AG27" s="130">
        <f t="shared" si="59"/>
        <v>1</v>
      </c>
      <c r="AH27" s="130" t="str">
        <f t="shared" si="60"/>
        <v/>
      </c>
      <c r="AI27" s="130">
        <f t="shared" si="61"/>
        <v>1</v>
      </c>
      <c r="AJ27" s="130" t="str">
        <f t="shared" si="62"/>
        <v/>
      </c>
      <c r="AK27" s="130" t="str">
        <f t="shared" si="1"/>
        <v/>
      </c>
      <c r="AL27" s="130">
        <f t="shared" si="2"/>
        <v>1</v>
      </c>
      <c r="AM27" s="130">
        <f t="shared" si="3"/>
        <v>1</v>
      </c>
      <c r="AN27" s="130" t="str">
        <f t="shared" si="4"/>
        <v/>
      </c>
      <c r="AO27" s="130">
        <f t="shared" si="5"/>
        <v>1</v>
      </c>
      <c r="AP27" s="130" t="str">
        <f t="shared" si="6"/>
        <v/>
      </c>
      <c r="AQ27" s="130">
        <f t="shared" si="7"/>
        <v>1</v>
      </c>
      <c r="AR27" s="130" t="str">
        <f t="shared" si="8"/>
        <v/>
      </c>
      <c r="AS27" s="130" t="str">
        <f t="shared" si="9"/>
        <v/>
      </c>
      <c r="AT27" s="130" t="str">
        <f t="shared" si="10"/>
        <v/>
      </c>
      <c r="AU27" s="130">
        <f t="shared" si="11"/>
        <v>1</v>
      </c>
      <c r="AV27" s="130">
        <f t="shared" si="12"/>
        <v>1</v>
      </c>
      <c r="AW27" s="130">
        <f t="shared" si="13"/>
        <v>1</v>
      </c>
      <c r="AX27" s="130">
        <f t="shared" si="14"/>
        <v>1</v>
      </c>
      <c r="AY27" s="130" t="str">
        <f t="shared" si="15"/>
        <v/>
      </c>
      <c r="AZ27" s="130">
        <f t="shared" si="16"/>
        <v>1</v>
      </c>
      <c r="BA27" s="130" t="str">
        <f t="shared" si="17"/>
        <v/>
      </c>
      <c r="BB27" s="130" t="str">
        <f t="shared" si="18"/>
        <v/>
      </c>
      <c r="BC27" s="130">
        <f t="shared" si="19"/>
        <v>1</v>
      </c>
      <c r="BD27" s="130">
        <f t="shared" si="20"/>
        <v>1</v>
      </c>
      <c r="BE27" s="130" t="str">
        <f t="shared" si="21"/>
        <v/>
      </c>
      <c r="BF27" s="130" t="str">
        <f t="shared" si="22"/>
        <v/>
      </c>
      <c r="BG27" s="130" t="str">
        <f t="shared" si="23"/>
        <v/>
      </c>
      <c r="BH27" s="130">
        <f t="shared" si="24"/>
        <v>1</v>
      </c>
      <c r="BI27" s="130" t="str">
        <f t="shared" si="25"/>
        <v/>
      </c>
      <c r="BJ27" s="130" t="str">
        <f t="shared" si="26"/>
        <v/>
      </c>
      <c r="BK27" s="130" t="str">
        <f t="shared" si="27"/>
        <v/>
      </c>
      <c r="BL27" s="130" t="str">
        <f t="shared" si="28"/>
        <v/>
      </c>
      <c r="BM27" s="130">
        <f t="shared" si="29"/>
        <v>1</v>
      </c>
      <c r="BN27" s="130">
        <f t="shared" si="30"/>
        <v>1</v>
      </c>
      <c r="BO27" s="130">
        <f t="shared" si="31"/>
        <v>1</v>
      </c>
      <c r="BP27" s="130">
        <f t="shared" si="32"/>
        <v>1</v>
      </c>
      <c r="BQ27" s="130" t="str">
        <f t="shared" si="33"/>
        <v/>
      </c>
      <c r="BR27" s="130" t="str">
        <f t="shared" si="34"/>
        <v/>
      </c>
      <c r="BS27" s="130" t="str">
        <f t="shared" si="35"/>
        <v/>
      </c>
      <c r="BT27" s="130" t="str">
        <f t="shared" si="36"/>
        <v/>
      </c>
      <c r="BU27" s="130" t="str">
        <f t="shared" si="37"/>
        <v/>
      </c>
      <c r="BV27" s="130">
        <f t="shared" si="38"/>
        <v>1</v>
      </c>
      <c r="BW27" s="130">
        <f t="shared" si="39"/>
        <v>1</v>
      </c>
      <c r="BX27" s="130" t="str">
        <f t="shared" si="40"/>
        <v/>
      </c>
      <c r="BY27" s="130">
        <f t="shared" si="41"/>
        <v>1</v>
      </c>
      <c r="BZ27" s="130">
        <f t="shared" si="42"/>
        <v>1</v>
      </c>
      <c r="CA27" s="130" t="str">
        <f t="shared" si="43"/>
        <v/>
      </c>
      <c r="CB27" s="130" t="str">
        <f t="shared" si="44"/>
        <v/>
      </c>
      <c r="CC27" s="130" t="str">
        <f t="shared" si="45"/>
        <v/>
      </c>
      <c r="CD27" s="130">
        <f t="shared" si="46"/>
        <v>1</v>
      </c>
      <c r="CE27" s="130">
        <f t="shared" si="47"/>
        <v>1</v>
      </c>
      <c r="CF27" s="130" t="str">
        <f t="shared" si="48"/>
        <v/>
      </c>
      <c r="CG27" s="130">
        <f t="shared" si="49"/>
        <v>1</v>
      </c>
      <c r="CH27" s="130" t="str">
        <f t="shared" si="50"/>
        <v/>
      </c>
      <c r="CI27" s="130">
        <f t="shared" si="51"/>
        <v>1</v>
      </c>
      <c r="CJ27" s="130" t="str">
        <f t="shared" si="52"/>
        <v/>
      </c>
      <c r="CK27" s="130" t="str">
        <f t="shared" si="53"/>
        <v/>
      </c>
      <c r="CL27" s="130" t="str">
        <f t="shared" si="54"/>
        <v/>
      </c>
      <c r="CM27" s="130" t="str">
        <f t="shared" si="55"/>
        <v/>
      </c>
      <c r="CN27" s="130" t="str">
        <f t="shared" si="56"/>
        <v/>
      </c>
      <c r="CO27" s="130" t="str">
        <f t="shared" si="57"/>
        <v/>
      </c>
      <c r="CP27" s="130" t="str">
        <f t="shared" si="58"/>
        <v/>
      </c>
    </row>
    <row r="28" spans="1:94" s="90" customFormat="1" ht="16.149999999999999" customHeight="1" x14ac:dyDescent="0.3">
      <c r="A28" s="737"/>
      <c r="B28" s="93">
        <v>2</v>
      </c>
      <c r="C28" s="241" t="s">
        <v>302</v>
      </c>
      <c r="D28" s="492" t="s">
        <v>67</v>
      </c>
      <c r="E28" s="492" t="s">
        <v>95</v>
      </c>
      <c r="F28" s="492" t="s">
        <v>524</v>
      </c>
      <c r="G28" s="492" t="s">
        <v>59</v>
      </c>
      <c r="H28" s="492" t="s">
        <v>498</v>
      </c>
      <c r="I28" s="492" t="s">
        <v>79</v>
      </c>
      <c r="J28" s="492" t="s">
        <v>50</v>
      </c>
      <c r="K28" s="492" t="s">
        <v>522</v>
      </c>
      <c r="L28" s="492" t="s">
        <v>520</v>
      </c>
      <c r="M28" s="492" t="s">
        <v>55</v>
      </c>
      <c r="N28" s="492" t="s">
        <v>47</v>
      </c>
      <c r="O28" s="492" t="s">
        <v>13</v>
      </c>
      <c r="P28" s="492" t="s">
        <v>82</v>
      </c>
      <c r="Q28" s="492" t="s">
        <v>51</v>
      </c>
      <c r="R28" s="492" t="s">
        <v>73</v>
      </c>
      <c r="S28" s="492" t="s">
        <v>60</v>
      </c>
      <c r="T28" s="492" t="s">
        <v>190</v>
      </c>
      <c r="U28" s="492" t="s">
        <v>519</v>
      </c>
      <c r="V28" s="492" t="s">
        <v>66</v>
      </c>
      <c r="W28" s="492" t="s">
        <v>97</v>
      </c>
      <c r="X28" s="492" t="s">
        <v>93</v>
      </c>
      <c r="Y28" s="492" t="s">
        <v>68</v>
      </c>
      <c r="Z28" s="492" t="s">
        <v>518</v>
      </c>
      <c r="AA28" s="492" t="s">
        <v>83</v>
      </c>
      <c r="AB28" s="492" t="s">
        <v>61</v>
      </c>
      <c r="AC28" s="492" t="s">
        <v>90</v>
      </c>
      <c r="AD28" s="492" t="s">
        <v>521</v>
      </c>
      <c r="AE28" s="493" t="s">
        <v>85</v>
      </c>
      <c r="AF28" s="130">
        <f t="shared" si="63"/>
        <v>1</v>
      </c>
      <c r="AG28" s="130" t="str">
        <f t="shared" si="59"/>
        <v/>
      </c>
      <c r="AH28" s="130" t="str">
        <f t="shared" si="60"/>
        <v/>
      </c>
      <c r="AI28" s="130">
        <f t="shared" si="61"/>
        <v>1</v>
      </c>
      <c r="AJ28" s="130" t="str">
        <f t="shared" si="62"/>
        <v/>
      </c>
      <c r="AK28" s="130" t="str">
        <f t="shared" si="1"/>
        <v/>
      </c>
      <c r="AL28" s="130">
        <f t="shared" si="2"/>
        <v>1</v>
      </c>
      <c r="AM28" s="130">
        <f t="shared" si="3"/>
        <v>1</v>
      </c>
      <c r="AN28" s="130" t="str">
        <f t="shared" si="4"/>
        <v/>
      </c>
      <c r="AO28" s="130" t="str">
        <f t="shared" si="5"/>
        <v/>
      </c>
      <c r="AP28" s="130" t="str">
        <f t="shared" si="6"/>
        <v/>
      </c>
      <c r="AQ28" s="130">
        <f t="shared" si="7"/>
        <v>1</v>
      </c>
      <c r="AR28" s="130" t="str">
        <f t="shared" si="8"/>
        <v/>
      </c>
      <c r="AS28" s="130" t="str">
        <f t="shared" si="9"/>
        <v/>
      </c>
      <c r="AT28" s="130" t="str">
        <f t="shared" si="10"/>
        <v/>
      </c>
      <c r="AU28" s="130" t="str">
        <f t="shared" si="11"/>
        <v/>
      </c>
      <c r="AV28" s="130">
        <f t="shared" si="12"/>
        <v>1</v>
      </c>
      <c r="AW28" s="130">
        <f t="shared" si="13"/>
        <v>1</v>
      </c>
      <c r="AX28" s="130">
        <f t="shared" si="14"/>
        <v>1</v>
      </c>
      <c r="AY28" s="130" t="str">
        <f t="shared" si="15"/>
        <v/>
      </c>
      <c r="AZ28" s="130" t="str">
        <f t="shared" si="16"/>
        <v/>
      </c>
      <c r="BA28" s="130" t="str">
        <f t="shared" si="17"/>
        <v/>
      </c>
      <c r="BB28" s="130">
        <f t="shared" si="18"/>
        <v>1</v>
      </c>
      <c r="BC28" s="130">
        <f t="shared" si="19"/>
        <v>1</v>
      </c>
      <c r="BD28" s="130">
        <f t="shared" si="20"/>
        <v>1</v>
      </c>
      <c r="BE28" s="130" t="str">
        <f t="shared" si="21"/>
        <v/>
      </c>
      <c r="BF28" s="130" t="str">
        <f t="shared" si="22"/>
        <v/>
      </c>
      <c r="BG28" s="130" t="str">
        <f t="shared" si="23"/>
        <v/>
      </c>
      <c r="BH28" s="130">
        <f t="shared" si="24"/>
        <v>1</v>
      </c>
      <c r="BI28" s="130" t="str">
        <f t="shared" si="25"/>
        <v/>
      </c>
      <c r="BJ28" s="130" t="str">
        <f t="shared" si="26"/>
        <v/>
      </c>
      <c r="BK28" s="130" t="str">
        <f t="shared" si="27"/>
        <v/>
      </c>
      <c r="BL28" s="130" t="str">
        <f t="shared" si="28"/>
        <v/>
      </c>
      <c r="BM28" s="130" t="str">
        <f t="shared" si="29"/>
        <v/>
      </c>
      <c r="BN28" s="130">
        <f t="shared" si="30"/>
        <v>1</v>
      </c>
      <c r="BO28" s="130" t="str">
        <f t="shared" si="31"/>
        <v/>
      </c>
      <c r="BP28" s="130" t="str">
        <f t="shared" si="32"/>
        <v/>
      </c>
      <c r="BQ28" s="130" t="str">
        <f t="shared" si="33"/>
        <v/>
      </c>
      <c r="BR28" s="130">
        <f t="shared" si="34"/>
        <v>1</v>
      </c>
      <c r="BS28" s="130" t="str">
        <f t="shared" si="35"/>
        <v/>
      </c>
      <c r="BT28" s="130" t="str">
        <f t="shared" si="36"/>
        <v/>
      </c>
      <c r="BU28" s="130" t="str">
        <f t="shared" si="37"/>
        <v/>
      </c>
      <c r="BV28" s="130">
        <f t="shared" si="38"/>
        <v>1</v>
      </c>
      <c r="BW28" s="130">
        <f t="shared" si="39"/>
        <v>1</v>
      </c>
      <c r="BX28" s="130" t="str">
        <f t="shared" si="40"/>
        <v/>
      </c>
      <c r="BY28" s="130">
        <f t="shared" si="41"/>
        <v>1</v>
      </c>
      <c r="BZ28" s="130">
        <f t="shared" si="42"/>
        <v>1</v>
      </c>
      <c r="CA28" s="130" t="str">
        <f t="shared" si="43"/>
        <v/>
      </c>
      <c r="CB28" s="130" t="str">
        <f t="shared" si="44"/>
        <v/>
      </c>
      <c r="CC28" s="130" t="str">
        <f t="shared" si="45"/>
        <v/>
      </c>
      <c r="CD28" s="130">
        <f t="shared" si="46"/>
        <v>1</v>
      </c>
      <c r="CE28" s="130">
        <f t="shared" si="47"/>
        <v>1</v>
      </c>
      <c r="CF28" s="130" t="str">
        <f t="shared" si="48"/>
        <v/>
      </c>
      <c r="CG28" s="130">
        <f t="shared" si="49"/>
        <v>1</v>
      </c>
      <c r="CH28" s="130" t="str">
        <f t="shared" si="50"/>
        <v/>
      </c>
      <c r="CI28" s="130">
        <f t="shared" si="51"/>
        <v>1</v>
      </c>
      <c r="CJ28" s="130" t="str">
        <f t="shared" si="52"/>
        <v/>
      </c>
      <c r="CK28" s="130" t="str">
        <f t="shared" si="53"/>
        <v/>
      </c>
      <c r="CL28" s="130" t="str">
        <f t="shared" si="54"/>
        <v/>
      </c>
      <c r="CM28" s="130" t="str">
        <f t="shared" si="55"/>
        <v/>
      </c>
      <c r="CN28" s="130" t="str">
        <f t="shared" si="56"/>
        <v/>
      </c>
      <c r="CO28" s="130" t="str">
        <f t="shared" si="57"/>
        <v/>
      </c>
      <c r="CP28" s="130" t="str">
        <f t="shared" si="58"/>
        <v/>
      </c>
    </row>
    <row r="29" spans="1:94" s="90" customFormat="1" ht="16.149999999999999" customHeight="1" x14ac:dyDescent="0.3">
      <c r="A29" s="737"/>
      <c r="B29" s="93">
        <v>3</v>
      </c>
      <c r="C29" s="241" t="s">
        <v>343</v>
      </c>
      <c r="D29" s="492" t="s">
        <v>95</v>
      </c>
      <c r="E29" s="492" t="s">
        <v>524</v>
      </c>
      <c r="F29" s="492" t="s">
        <v>81</v>
      </c>
      <c r="G29" s="492" t="s">
        <v>59</v>
      </c>
      <c r="H29" s="492" t="s">
        <v>518</v>
      </c>
      <c r="I29" s="492" t="s">
        <v>68</v>
      </c>
      <c r="J29" s="492" t="s">
        <v>50</v>
      </c>
      <c r="K29" s="492" t="s">
        <v>51</v>
      </c>
      <c r="L29" s="492" t="s">
        <v>79</v>
      </c>
      <c r="M29" s="492" t="s">
        <v>13</v>
      </c>
      <c r="N29" s="492" t="s">
        <v>60</v>
      </c>
      <c r="O29" s="492" t="s">
        <v>63</v>
      </c>
      <c r="P29" s="492" t="s">
        <v>67</v>
      </c>
      <c r="Q29" s="492" t="s">
        <v>85</v>
      </c>
      <c r="R29" s="492" t="s">
        <v>73</v>
      </c>
      <c r="S29" s="492" t="s">
        <v>78</v>
      </c>
      <c r="T29" s="492" t="s">
        <v>520</v>
      </c>
      <c r="U29" s="492" t="s">
        <v>66</v>
      </c>
      <c r="V29" s="492" t="s">
        <v>190</v>
      </c>
      <c r="W29" s="492" t="s">
        <v>521</v>
      </c>
      <c r="X29" s="492" t="s">
        <v>519</v>
      </c>
      <c r="Y29" s="492" t="s">
        <v>45</v>
      </c>
      <c r="Z29" s="492" t="s">
        <v>236</v>
      </c>
      <c r="AA29" s="492" t="s">
        <v>80</v>
      </c>
      <c r="AB29" s="492" t="s">
        <v>61</v>
      </c>
      <c r="AC29" s="492" t="s">
        <v>97</v>
      </c>
      <c r="AD29" s="492" t="s">
        <v>83</v>
      </c>
      <c r="AE29" s="493" t="s">
        <v>90</v>
      </c>
      <c r="AF29" s="130">
        <f t="shared" si="63"/>
        <v>1</v>
      </c>
      <c r="AG29" s="130">
        <f t="shared" si="59"/>
        <v>1</v>
      </c>
      <c r="AH29" s="130" t="str">
        <f t="shared" si="60"/>
        <v/>
      </c>
      <c r="AI29" s="130" t="str">
        <f t="shared" si="61"/>
        <v/>
      </c>
      <c r="AJ29" s="130" t="str">
        <f t="shared" si="62"/>
        <v/>
      </c>
      <c r="AK29" s="130" t="str">
        <f t="shared" si="1"/>
        <v/>
      </c>
      <c r="AL29" s="130">
        <f t="shared" si="2"/>
        <v>1</v>
      </c>
      <c r="AM29" s="130">
        <f t="shared" si="3"/>
        <v>1</v>
      </c>
      <c r="AN29" s="130" t="str">
        <f t="shared" si="4"/>
        <v/>
      </c>
      <c r="AO29" s="130" t="str">
        <f t="shared" si="5"/>
        <v/>
      </c>
      <c r="AP29" s="130" t="str">
        <f t="shared" si="6"/>
        <v/>
      </c>
      <c r="AQ29" s="130" t="str">
        <f t="shared" si="7"/>
        <v/>
      </c>
      <c r="AR29" s="130" t="str">
        <f t="shared" si="8"/>
        <v/>
      </c>
      <c r="AS29" s="130">
        <f t="shared" si="9"/>
        <v>1</v>
      </c>
      <c r="AT29" s="130" t="str">
        <f t="shared" si="10"/>
        <v/>
      </c>
      <c r="AU29" s="130" t="str">
        <f t="shared" si="11"/>
        <v/>
      </c>
      <c r="AV29" s="130">
        <f t="shared" si="12"/>
        <v>1</v>
      </c>
      <c r="AW29" s="130">
        <f t="shared" si="13"/>
        <v>1</v>
      </c>
      <c r="AX29" s="130">
        <f t="shared" si="14"/>
        <v>1</v>
      </c>
      <c r="AY29" s="130" t="str">
        <f t="shared" si="15"/>
        <v/>
      </c>
      <c r="AZ29" s="130">
        <f t="shared" si="16"/>
        <v>1</v>
      </c>
      <c r="BA29" s="130" t="str">
        <f t="shared" si="17"/>
        <v/>
      </c>
      <c r="BB29" s="130">
        <f t="shared" si="18"/>
        <v>1</v>
      </c>
      <c r="BC29" s="130">
        <f t="shared" si="19"/>
        <v>1</v>
      </c>
      <c r="BD29" s="130">
        <f t="shared" si="20"/>
        <v>1</v>
      </c>
      <c r="BE29" s="130" t="str">
        <f t="shared" si="21"/>
        <v/>
      </c>
      <c r="BF29" s="130" t="str">
        <f t="shared" si="22"/>
        <v/>
      </c>
      <c r="BG29" s="130" t="str">
        <f t="shared" si="23"/>
        <v/>
      </c>
      <c r="BH29" s="130">
        <f t="shared" si="24"/>
        <v>1</v>
      </c>
      <c r="BI29" s="130" t="str">
        <f t="shared" si="25"/>
        <v/>
      </c>
      <c r="BJ29" s="130" t="str">
        <f t="shared" si="26"/>
        <v/>
      </c>
      <c r="BK29" s="130" t="str">
        <f t="shared" si="27"/>
        <v/>
      </c>
      <c r="BL29" s="130" t="str">
        <f t="shared" si="28"/>
        <v/>
      </c>
      <c r="BM29" s="130">
        <f t="shared" si="29"/>
        <v>1</v>
      </c>
      <c r="BN29" s="130">
        <f t="shared" si="30"/>
        <v>1</v>
      </c>
      <c r="BO29" s="130">
        <f t="shared" si="31"/>
        <v>1</v>
      </c>
      <c r="BP29" s="130">
        <f t="shared" si="32"/>
        <v>1</v>
      </c>
      <c r="BQ29" s="130" t="str">
        <f t="shared" si="33"/>
        <v/>
      </c>
      <c r="BR29" s="130" t="str">
        <f t="shared" si="34"/>
        <v/>
      </c>
      <c r="BS29" s="130" t="str">
        <f t="shared" si="35"/>
        <v/>
      </c>
      <c r="BT29" s="130" t="str">
        <f t="shared" si="36"/>
        <v/>
      </c>
      <c r="BU29" s="130" t="str">
        <f t="shared" si="37"/>
        <v/>
      </c>
      <c r="BV29" s="130">
        <f t="shared" si="38"/>
        <v>1</v>
      </c>
      <c r="BW29" s="130">
        <f t="shared" si="39"/>
        <v>1</v>
      </c>
      <c r="BX29" s="130" t="str">
        <f t="shared" si="40"/>
        <v/>
      </c>
      <c r="BY29" s="130" t="str">
        <f t="shared" si="41"/>
        <v/>
      </c>
      <c r="BZ29" s="130">
        <f t="shared" si="42"/>
        <v>1</v>
      </c>
      <c r="CA29" s="130" t="str">
        <f t="shared" si="43"/>
        <v/>
      </c>
      <c r="CB29" s="130" t="str">
        <f t="shared" si="44"/>
        <v/>
      </c>
      <c r="CC29" s="130" t="str">
        <f t="shared" si="45"/>
        <v/>
      </c>
      <c r="CD29" s="130" t="str">
        <f t="shared" si="46"/>
        <v/>
      </c>
      <c r="CE29" s="130">
        <f t="shared" si="47"/>
        <v>1</v>
      </c>
      <c r="CF29" s="130" t="str">
        <f t="shared" si="48"/>
        <v/>
      </c>
      <c r="CG29" s="130">
        <f t="shared" si="49"/>
        <v>1</v>
      </c>
      <c r="CH29" s="130" t="str">
        <f t="shared" si="50"/>
        <v/>
      </c>
      <c r="CI29" s="130">
        <f t="shared" si="51"/>
        <v>1</v>
      </c>
      <c r="CJ29" s="130" t="str">
        <f t="shared" si="52"/>
        <v/>
      </c>
      <c r="CK29" s="130" t="str">
        <f t="shared" si="53"/>
        <v/>
      </c>
      <c r="CL29" s="130" t="str">
        <f t="shared" si="54"/>
        <v/>
      </c>
      <c r="CM29" s="130" t="str">
        <f t="shared" si="55"/>
        <v/>
      </c>
      <c r="CN29" s="130" t="str">
        <f t="shared" si="56"/>
        <v/>
      </c>
      <c r="CO29" s="130" t="str">
        <f t="shared" si="57"/>
        <v/>
      </c>
      <c r="CP29" s="130" t="str">
        <f t="shared" si="58"/>
        <v/>
      </c>
    </row>
    <row r="30" spans="1:94" s="90" customFormat="1" ht="16.149999999999999" customHeight="1" x14ac:dyDescent="0.3">
      <c r="A30" s="737"/>
      <c r="B30" s="93">
        <v>4</v>
      </c>
      <c r="C30" s="241" t="s">
        <v>344</v>
      </c>
      <c r="D30" s="492" t="s">
        <v>13</v>
      </c>
      <c r="E30" s="492" t="s">
        <v>59</v>
      </c>
      <c r="F30" s="492" t="s">
        <v>81</v>
      </c>
      <c r="G30" s="492" t="s">
        <v>498</v>
      </c>
      <c r="H30" s="492" t="s">
        <v>518</v>
      </c>
      <c r="I30" s="492" t="s">
        <v>68</v>
      </c>
      <c r="J30" s="492" t="s">
        <v>50</v>
      </c>
      <c r="K30" s="492" t="s">
        <v>51</v>
      </c>
      <c r="L30" s="492" t="s">
        <v>79</v>
      </c>
      <c r="M30" s="492" t="s">
        <v>82</v>
      </c>
      <c r="N30" s="492" t="s">
        <v>95</v>
      </c>
      <c r="O30" s="492" t="s">
        <v>55</v>
      </c>
      <c r="P30" s="492" t="s">
        <v>67</v>
      </c>
      <c r="Q30" s="492" t="s">
        <v>190</v>
      </c>
      <c r="R30" s="492" t="s">
        <v>97</v>
      </c>
      <c r="S30" s="492" t="s">
        <v>78</v>
      </c>
      <c r="T30" s="492" t="s">
        <v>522</v>
      </c>
      <c r="U30" s="492" t="s">
        <v>66</v>
      </c>
      <c r="V30" s="492" t="s">
        <v>85</v>
      </c>
      <c r="W30" s="492" t="s">
        <v>83</v>
      </c>
      <c r="X30" s="492" t="s">
        <v>61</v>
      </c>
      <c r="Y30" s="492" t="s">
        <v>45</v>
      </c>
      <c r="Z30" s="492" t="s">
        <v>58</v>
      </c>
      <c r="AA30" s="492" t="s">
        <v>91</v>
      </c>
      <c r="AB30" s="492" t="s">
        <v>47</v>
      </c>
      <c r="AC30" s="492" t="s">
        <v>236</v>
      </c>
      <c r="AD30" s="492" t="s">
        <v>220</v>
      </c>
      <c r="AE30" s="493" t="s">
        <v>90</v>
      </c>
      <c r="AF30" s="130">
        <f t="shared" si="63"/>
        <v>1</v>
      </c>
      <c r="AG30" s="130">
        <f t="shared" si="59"/>
        <v>1</v>
      </c>
      <c r="AH30" s="130" t="str">
        <f t="shared" si="60"/>
        <v/>
      </c>
      <c r="AI30" s="130">
        <f t="shared" si="61"/>
        <v>1</v>
      </c>
      <c r="AJ30" s="130" t="str">
        <f t="shared" si="62"/>
        <v/>
      </c>
      <c r="AK30" s="130" t="str">
        <f t="shared" si="1"/>
        <v/>
      </c>
      <c r="AL30" s="130">
        <f t="shared" si="2"/>
        <v>1</v>
      </c>
      <c r="AM30" s="130">
        <f t="shared" si="3"/>
        <v>1</v>
      </c>
      <c r="AN30" s="130"/>
      <c r="AO30" s="130" t="str">
        <f t="shared" si="5"/>
        <v/>
      </c>
      <c r="AP30" s="130" t="str">
        <f t="shared" si="6"/>
        <v/>
      </c>
      <c r="AQ30" s="130">
        <f t="shared" si="7"/>
        <v>1</v>
      </c>
      <c r="AR30" s="130" t="str">
        <f t="shared" si="8"/>
        <v/>
      </c>
      <c r="AS30" s="130">
        <f t="shared" si="9"/>
        <v>1</v>
      </c>
      <c r="AT30" s="130" t="str">
        <f t="shared" si="10"/>
        <v/>
      </c>
      <c r="AU30" s="130">
        <f t="shared" si="11"/>
        <v>1</v>
      </c>
      <c r="AV30" s="130">
        <f t="shared" si="12"/>
        <v>1</v>
      </c>
      <c r="AW30" s="130" t="str">
        <f t="shared" si="13"/>
        <v/>
      </c>
      <c r="AX30" s="130">
        <f t="shared" si="14"/>
        <v>1</v>
      </c>
      <c r="AY30" s="130" t="str">
        <f t="shared" si="15"/>
        <v/>
      </c>
      <c r="AZ30" s="130" t="str">
        <f t="shared" si="16"/>
        <v/>
      </c>
      <c r="BA30" s="130" t="str">
        <f t="shared" si="17"/>
        <v/>
      </c>
      <c r="BB30" s="130">
        <f t="shared" si="18"/>
        <v>1</v>
      </c>
      <c r="BC30" s="130">
        <f t="shared" si="19"/>
        <v>1</v>
      </c>
      <c r="BD30" s="130">
        <f t="shared" si="20"/>
        <v>1</v>
      </c>
      <c r="BE30" s="130" t="str">
        <f t="shared" si="21"/>
        <v/>
      </c>
      <c r="BF30" s="130" t="str">
        <f t="shared" si="22"/>
        <v/>
      </c>
      <c r="BG30" s="130" t="str">
        <f t="shared" si="23"/>
        <v/>
      </c>
      <c r="BH30" s="130" t="str">
        <f t="shared" si="24"/>
        <v/>
      </c>
      <c r="BI30" s="130" t="str">
        <f t="shared" si="25"/>
        <v/>
      </c>
      <c r="BJ30" s="130" t="str">
        <f t="shared" si="26"/>
        <v/>
      </c>
      <c r="BK30" s="130" t="str">
        <f t="shared" si="27"/>
        <v/>
      </c>
      <c r="BL30" s="130" t="str">
        <f t="shared" si="28"/>
        <v/>
      </c>
      <c r="BM30" s="130">
        <f t="shared" si="29"/>
        <v>1</v>
      </c>
      <c r="BN30" s="130">
        <f t="shared" si="30"/>
        <v>1</v>
      </c>
      <c r="BO30" s="130" t="str">
        <f t="shared" si="31"/>
        <v/>
      </c>
      <c r="BP30" s="130">
        <f t="shared" si="32"/>
        <v>1</v>
      </c>
      <c r="BQ30" s="130" t="str">
        <f t="shared" si="33"/>
        <v/>
      </c>
      <c r="BR30" s="130">
        <f t="shared" si="34"/>
        <v>1</v>
      </c>
      <c r="BS30" s="130" t="str">
        <f t="shared" si="35"/>
        <v/>
      </c>
      <c r="BT30" s="130" t="str">
        <f t="shared" si="36"/>
        <v/>
      </c>
      <c r="BU30" s="130" t="str">
        <f t="shared" si="37"/>
        <v/>
      </c>
      <c r="BV30" s="130">
        <f t="shared" si="38"/>
        <v>1</v>
      </c>
      <c r="BW30" s="130">
        <f t="shared" si="39"/>
        <v>1</v>
      </c>
      <c r="BX30" s="130" t="str">
        <f t="shared" si="40"/>
        <v/>
      </c>
      <c r="BY30" s="130">
        <f t="shared" si="41"/>
        <v>1</v>
      </c>
      <c r="BZ30" s="130">
        <f t="shared" si="42"/>
        <v>1</v>
      </c>
      <c r="CA30" s="130">
        <f t="shared" si="43"/>
        <v>1</v>
      </c>
      <c r="CB30" s="130" t="str">
        <f t="shared" si="44"/>
        <v/>
      </c>
      <c r="CC30" s="130">
        <f t="shared" si="45"/>
        <v>1</v>
      </c>
      <c r="CD30" s="130" t="str">
        <f t="shared" si="46"/>
        <v/>
      </c>
      <c r="CE30" s="130">
        <f t="shared" si="47"/>
        <v>1</v>
      </c>
      <c r="CF30" s="130" t="str">
        <f t="shared" si="48"/>
        <v/>
      </c>
      <c r="CG30" s="130">
        <f t="shared" si="49"/>
        <v>1</v>
      </c>
      <c r="CH30" s="130" t="str">
        <f t="shared" si="50"/>
        <v/>
      </c>
      <c r="CI30" s="130">
        <f t="shared" si="51"/>
        <v>1</v>
      </c>
      <c r="CJ30" s="130" t="str">
        <f t="shared" si="52"/>
        <v/>
      </c>
      <c r="CK30" s="130" t="str">
        <f t="shared" si="53"/>
        <v/>
      </c>
      <c r="CL30" s="130" t="str">
        <f t="shared" si="54"/>
        <v/>
      </c>
      <c r="CM30" s="130" t="str">
        <f t="shared" si="55"/>
        <v/>
      </c>
      <c r="CN30" s="130" t="str">
        <f t="shared" si="56"/>
        <v/>
      </c>
      <c r="CO30" s="130" t="str">
        <f t="shared" si="57"/>
        <v/>
      </c>
      <c r="CP30" s="130" t="str">
        <f t="shared" si="58"/>
        <v/>
      </c>
    </row>
    <row r="31" spans="1:94" s="90" customFormat="1" ht="14.1" customHeight="1" x14ac:dyDescent="0.3">
      <c r="A31" s="738"/>
      <c r="B31" s="94">
        <v>5</v>
      </c>
      <c r="C31" s="242" t="s">
        <v>345</v>
      </c>
      <c r="D31" s="494" t="s">
        <v>529</v>
      </c>
      <c r="E31" s="494" t="s">
        <v>529</v>
      </c>
      <c r="F31" s="494" t="s">
        <v>529</v>
      </c>
      <c r="G31" s="494" t="s">
        <v>529</v>
      </c>
      <c r="H31" s="494" t="s">
        <v>529</v>
      </c>
      <c r="I31" s="494" t="s">
        <v>529</v>
      </c>
      <c r="J31" s="494" t="s">
        <v>529</v>
      </c>
      <c r="K31" s="494" t="s">
        <v>529</v>
      </c>
      <c r="L31" s="494" t="s">
        <v>529</v>
      </c>
      <c r="M31" s="494" t="s">
        <v>529</v>
      </c>
      <c r="N31" s="494" t="s">
        <v>529</v>
      </c>
      <c r="O31" s="494" t="s">
        <v>529</v>
      </c>
      <c r="P31" s="494" t="s">
        <v>529</v>
      </c>
      <c r="Q31" s="494" t="s">
        <v>529</v>
      </c>
      <c r="R31" s="494" t="s">
        <v>529</v>
      </c>
      <c r="S31" s="494" t="s">
        <v>529</v>
      </c>
      <c r="T31" s="494" t="s">
        <v>529</v>
      </c>
      <c r="U31" s="494" t="s">
        <v>529</v>
      </c>
      <c r="V31" s="494" t="s">
        <v>529</v>
      </c>
      <c r="W31" s="494" t="s">
        <v>529</v>
      </c>
      <c r="X31" s="494" t="s">
        <v>529</v>
      </c>
      <c r="Y31" s="494" t="s">
        <v>529</v>
      </c>
      <c r="Z31" s="494" t="s">
        <v>529</v>
      </c>
      <c r="AA31" s="494" t="s">
        <v>529</v>
      </c>
      <c r="AB31" s="494" t="s">
        <v>529</v>
      </c>
      <c r="AC31" s="494" t="s">
        <v>529</v>
      </c>
      <c r="AD31" s="494" t="s">
        <v>529</v>
      </c>
      <c r="AE31" s="495" t="s">
        <v>529</v>
      </c>
      <c r="AF31" s="130" t="str">
        <f t="shared" si="63"/>
        <v/>
      </c>
      <c r="AG31" s="130" t="str">
        <f t="shared" si="59"/>
        <v/>
      </c>
      <c r="AH31" s="130" t="str">
        <f t="shared" si="60"/>
        <v/>
      </c>
      <c r="AI31" s="130" t="str">
        <f t="shared" si="61"/>
        <v/>
      </c>
      <c r="AJ31" s="130" t="str">
        <f t="shared" si="62"/>
        <v/>
      </c>
      <c r="AK31" s="130" t="str">
        <f t="shared" si="1"/>
        <v/>
      </c>
      <c r="AL31" s="130" t="str">
        <f t="shared" si="2"/>
        <v/>
      </c>
      <c r="AM31" s="130" t="str">
        <f t="shared" si="3"/>
        <v/>
      </c>
      <c r="AN31" s="130" t="str">
        <f>IF(COUNTIF($D31:$AE31,"TT5")&gt;=1,COUNTIF($D31:$AE31,"TT5"),"")</f>
        <v/>
      </c>
      <c r="AO31" s="130" t="str">
        <f t="shared" si="5"/>
        <v/>
      </c>
      <c r="AP31" s="130" t="str">
        <f t="shared" si="6"/>
        <v/>
      </c>
      <c r="AQ31" s="130" t="str">
        <f t="shared" si="7"/>
        <v/>
      </c>
      <c r="AR31" s="130" t="str">
        <f t="shared" si="8"/>
        <v/>
      </c>
      <c r="AS31" s="130" t="str">
        <f t="shared" si="9"/>
        <v/>
      </c>
      <c r="AT31" s="130" t="str">
        <f t="shared" si="10"/>
        <v/>
      </c>
      <c r="AU31" s="130" t="str">
        <f t="shared" si="11"/>
        <v/>
      </c>
      <c r="AV31" s="130" t="str">
        <f t="shared" si="12"/>
        <v/>
      </c>
      <c r="AW31" s="130" t="str">
        <f t="shared" si="13"/>
        <v/>
      </c>
      <c r="AX31" s="130" t="str">
        <f t="shared" si="14"/>
        <v/>
      </c>
      <c r="AY31" s="130" t="str">
        <f t="shared" si="15"/>
        <v/>
      </c>
      <c r="AZ31" s="130" t="str">
        <f t="shared" si="16"/>
        <v/>
      </c>
      <c r="BA31" s="130" t="str">
        <f t="shared" si="17"/>
        <v/>
      </c>
      <c r="BB31" s="130" t="str">
        <f t="shared" si="18"/>
        <v/>
      </c>
      <c r="BC31" s="130" t="str">
        <f t="shared" si="19"/>
        <v/>
      </c>
      <c r="BD31" s="130" t="str">
        <f t="shared" si="20"/>
        <v/>
      </c>
      <c r="BE31" s="130" t="str">
        <f t="shared" si="21"/>
        <v/>
      </c>
      <c r="BF31" s="130" t="str">
        <f t="shared" si="22"/>
        <v/>
      </c>
      <c r="BG31" s="130" t="str">
        <f t="shared" si="23"/>
        <v/>
      </c>
      <c r="BH31" s="130" t="str">
        <f t="shared" si="24"/>
        <v/>
      </c>
      <c r="BI31" s="130" t="str">
        <f t="shared" si="25"/>
        <v/>
      </c>
      <c r="BJ31" s="130" t="str">
        <f t="shared" si="26"/>
        <v/>
      </c>
      <c r="BK31" s="130" t="str">
        <f t="shared" si="27"/>
        <v/>
      </c>
      <c r="BL31" s="130" t="str">
        <f t="shared" si="28"/>
        <v/>
      </c>
      <c r="BM31" s="130" t="str">
        <f t="shared" si="29"/>
        <v/>
      </c>
      <c r="BN31" s="130" t="str">
        <f t="shared" si="30"/>
        <v/>
      </c>
      <c r="BO31" s="130" t="str">
        <f t="shared" si="31"/>
        <v/>
      </c>
      <c r="BP31" s="130" t="str">
        <f t="shared" si="32"/>
        <v/>
      </c>
      <c r="BQ31" s="130" t="str">
        <f t="shared" si="33"/>
        <v/>
      </c>
      <c r="BR31" s="130" t="str">
        <f t="shared" si="34"/>
        <v/>
      </c>
      <c r="BS31" s="130" t="str">
        <f t="shared" si="35"/>
        <v/>
      </c>
      <c r="BT31" s="130" t="str">
        <f t="shared" si="36"/>
        <v/>
      </c>
      <c r="BU31" s="130" t="str">
        <f t="shared" si="37"/>
        <v/>
      </c>
      <c r="BV31" s="130" t="str">
        <f t="shared" si="38"/>
        <v/>
      </c>
      <c r="BW31" s="130" t="str">
        <f t="shared" si="39"/>
        <v/>
      </c>
      <c r="BX31" s="130" t="str">
        <f t="shared" si="40"/>
        <v/>
      </c>
      <c r="BY31" s="130" t="str">
        <f t="shared" si="41"/>
        <v/>
      </c>
      <c r="BZ31" s="130" t="str">
        <f t="shared" si="42"/>
        <v/>
      </c>
      <c r="CA31" s="130" t="str">
        <f t="shared" si="43"/>
        <v/>
      </c>
      <c r="CB31" s="130" t="str">
        <f t="shared" si="44"/>
        <v/>
      </c>
      <c r="CC31" s="130" t="str">
        <f t="shared" si="45"/>
        <v/>
      </c>
      <c r="CD31" s="130" t="str">
        <f t="shared" si="46"/>
        <v/>
      </c>
      <c r="CE31" s="130" t="str">
        <f t="shared" si="47"/>
        <v/>
      </c>
      <c r="CF31" s="130" t="str">
        <f t="shared" si="48"/>
        <v/>
      </c>
      <c r="CG31" s="130" t="str">
        <f t="shared" si="49"/>
        <v/>
      </c>
      <c r="CH31" s="130" t="str">
        <f t="shared" si="50"/>
        <v/>
      </c>
      <c r="CI31" s="130" t="str">
        <f t="shared" si="51"/>
        <v/>
      </c>
      <c r="CJ31" s="130" t="str">
        <f t="shared" si="52"/>
        <v/>
      </c>
      <c r="CK31" s="130" t="str">
        <f t="shared" si="53"/>
        <v/>
      </c>
      <c r="CL31" s="130" t="str">
        <f t="shared" si="54"/>
        <v/>
      </c>
      <c r="CM31" s="130" t="str">
        <f t="shared" si="55"/>
        <v/>
      </c>
      <c r="CN31" s="130" t="str">
        <f t="shared" si="56"/>
        <v/>
      </c>
      <c r="CO31" s="130" t="str">
        <f t="shared" si="57"/>
        <v/>
      </c>
      <c r="CP31" s="130" t="str">
        <f t="shared" si="58"/>
        <v/>
      </c>
    </row>
    <row r="32" spans="1:94" s="90" customFormat="1" ht="16.149999999999999" customHeight="1" x14ac:dyDescent="0.3">
      <c r="A32" s="736">
        <v>7</v>
      </c>
      <c r="B32" s="92">
        <v>1</v>
      </c>
      <c r="C32" s="240" t="s">
        <v>301</v>
      </c>
      <c r="D32" s="432" t="s">
        <v>81</v>
      </c>
      <c r="E32" s="432" t="s">
        <v>54</v>
      </c>
      <c r="F32" s="432" t="s">
        <v>103</v>
      </c>
      <c r="G32" s="432" t="s">
        <v>59</v>
      </c>
      <c r="H32" s="432" t="s">
        <v>498</v>
      </c>
      <c r="I32" s="432" t="s">
        <v>68</v>
      </c>
      <c r="J32" s="432" t="s">
        <v>50</v>
      </c>
      <c r="K32" s="432" t="s">
        <v>51</v>
      </c>
      <c r="L32" s="433"/>
      <c r="M32" s="433"/>
      <c r="N32" s="433"/>
      <c r="O32" s="433"/>
      <c r="P32" s="433"/>
      <c r="Q32" s="433"/>
      <c r="R32" s="432"/>
      <c r="S32" s="432"/>
      <c r="T32" s="433"/>
      <c r="U32" s="433"/>
      <c r="V32" s="432" t="s">
        <v>66</v>
      </c>
      <c r="W32" s="432" t="s">
        <v>47</v>
      </c>
      <c r="X32" s="432" t="s">
        <v>74</v>
      </c>
      <c r="Y32" s="432" t="s">
        <v>45</v>
      </c>
      <c r="Z32" s="432" t="s">
        <v>72</v>
      </c>
      <c r="AA32" s="432" t="s">
        <v>91</v>
      </c>
      <c r="AB32" s="432" t="s">
        <v>61</v>
      </c>
      <c r="AC32" s="432" t="s">
        <v>90</v>
      </c>
      <c r="AD32" s="432" t="s">
        <v>58</v>
      </c>
      <c r="AE32" s="434" t="s">
        <v>85</v>
      </c>
      <c r="AF32" s="131" t="str">
        <f t="shared" si="63"/>
        <v/>
      </c>
      <c r="AG32" s="131">
        <f t="shared" si="59"/>
        <v>1</v>
      </c>
      <c r="AH32" s="131" t="str">
        <f t="shared" si="60"/>
        <v/>
      </c>
      <c r="AI32" s="131">
        <f t="shared" si="61"/>
        <v>1</v>
      </c>
      <c r="AJ32" s="131" t="str">
        <f t="shared" si="62"/>
        <v/>
      </c>
      <c r="AK32" s="131" t="str">
        <f t="shared" si="1"/>
        <v/>
      </c>
      <c r="AL32" s="131">
        <f t="shared" si="2"/>
        <v>1</v>
      </c>
      <c r="AM32" s="131">
        <f t="shared" si="3"/>
        <v>1</v>
      </c>
      <c r="AN32" s="131" t="str">
        <f t="shared" ref="AN32:AN34" si="64">IF(COUNTIF($D32:$AE32,"TT5")&gt;=1,COUNTIF($D32:$AE32,"TT5"),"")</f>
        <v/>
      </c>
      <c r="AO32" s="131" t="str">
        <f t="shared" si="5"/>
        <v/>
      </c>
      <c r="AP32" s="131">
        <f t="shared" si="6"/>
        <v>1</v>
      </c>
      <c r="AQ32" s="131" t="str">
        <f t="shared" si="7"/>
        <v/>
      </c>
      <c r="AR32" s="131" t="str">
        <f t="shared" si="8"/>
        <v/>
      </c>
      <c r="AS32" s="131" t="str">
        <f t="shared" si="9"/>
        <v/>
      </c>
      <c r="AT32" s="131" t="str">
        <f t="shared" si="10"/>
        <v/>
      </c>
      <c r="AU32" s="131">
        <f t="shared" si="11"/>
        <v>1</v>
      </c>
      <c r="AV32" s="131">
        <f t="shared" si="12"/>
        <v>1</v>
      </c>
      <c r="AW32" s="131" t="str">
        <f t="shared" si="13"/>
        <v/>
      </c>
      <c r="AX32" s="131">
        <f t="shared" si="14"/>
        <v>1</v>
      </c>
      <c r="AY32" s="131" t="str">
        <f t="shared" si="15"/>
        <v/>
      </c>
      <c r="AZ32" s="131" t="str">
        <f t="shared" si="16"/>
        <v/>
      </c>
      <c r="BA32" s="131" t="str">
        <f t="shared" si="17"/>
        <v/>
      </c>
      <c r="BB32" s="131">
        <f t="shared" si="18"/>
        <v>1</v>
      </c>
      <c r="BC32" s="131" t="str">
        <f t="shared" si="19"/>
        <v/>
      </c>
      <c r="BD32" s="131">
        <f t="shared" si="20"/>
        <v>1</v>
      </c>
      <c r="BE32" s="131" t="str">
        <f t="shared" si="21"/>
        <v/>
      </c>
      <c r="BF32" s="131" t="str">
        <f t="shared" si="22"/>
        <v/>
      </c>
      <c r="BG32" s="131">
        <f t="shared" si="23"/>
        <v>1</v>
      </c>
      <c r="BH32" s="131" t="str">
        <f t="shared" si="24"/>
        <v/>
      </c>
      <c r="BI32" s="131">
        <f t="shared" si="25"/>
        <v>1</v>
      </c>
      <c r="BJ32" s="131" t="str">
        <f t="shared" si="26"/>
        <v/>
      </c>
      <c r="BK32" s="131" t="str">
        <f t="shared" si="27"/>
        <v/>
      </c>
      <c r="BL32" s="131" t="str">
        <f t="shared" si="28"/>
        <v/>
      </c>
      <c r="BM32" s="131" t="str">
        <f t="shared" si="29"/>
        <v/>
      </c>
      <c r="BN32" s="131" t="str">
        <f t="shared" si="30"/>
        <v/>
      </c>
      <c r="BO32" s="131" t="str">
        <f t="shared" si="31"/>
        <v/>
      </c>
      <c r="BP32" s="131">
        <f t="shared" si="32"/>
        <v>1</v>
      </c>
      <c r="BQ32" s="131" t="str">
        <f t="shared" si="33"/>
        <v/>
      </c>
      <c r="BR32" s="131" t="str">
        <f t="shared" si="34"/>
        <v/>
      </c>
      <c r="BS32" s="131" t="str">
        <f t="shared" si="35"/>
        <v/>
      </c>
      <c r="BT32" s="131" t="str">
        <f t="shared" si="36"/>
        <v/>
      </c>
      <c r="BU32" s="131" t="str">
        <f t="shared" si="37"/>
        <v/>
      </c>
      <c r="BV32" s="131" t="str">
        <f t="shared" si="38"/>
        <v/>
      </c>
      <c r="BW32" s="131">
        <f t="shared" si="39"/>
        <v>1</v>
      </c>
      <c r="BX32" s="131" t="str">
        <f t="shared" si="40"/>
        <v/>
      </c>
      <c r="BY32" s="131">
        <f t="shared" si="41"/>
        <v>1</v>
      </c>
      <c r="BZ32" s="131">
        <f t="shared" si="42"/>
        <v>1</v>
      </c>
      <c r="CA32" s="131">
        <f t="shared" si="43"/>
        <v>1</v>
      </c>
      <c r="CB32" s="131" t="str">
        <f t="shared" si="44"/>
        <v/>
      </c>
      <c r="CC32" s="131" t="str">
        <f t="shared" si="45"/>
        <v/>
      </c>
      <c r="CD32" s="131" t="str">
        <f t="shared" si="46"/>
        <v/>
      </c>
      <c r="CE32" s="131" t="str">
        <f t="shared" si="47"/>
        <v/>
      </c>
      <c r="CF32" s="131" t="str">
        <f t="shared" si="48"/>
        <v/>
      </c>
      <c r="CG32" s="131" t="str">
        <f t="shared" si="49"/>
        <v/>
      </c>
      <c r="CH32" s="131" t="str">
        <f t="shared" si="50"/>
        <v/>
      </c>
      <c r="CI32" s="131" t="str">
        <f t="shared" si="51"/>
        <v/>
      </c>
      <c r="CJ32" s="131" t="str">
        <f t="shared" si="52"/>
        <v/>
      </c>
      <c r="CK32" s="131" t="str">
        <f t="shared" si="53"/>
        <v/>
      </c>
      <c r="CL32" s="131" t="str">
        <f t="shared" si="54"/>
        <v/>
      </c>
      <c r="CM32" s="131" t="str">
        <f t="shared" si="55"/>
        <v/>
      </c>
      <c r="CN32" s="131" t="str">
        <f t="shared" si="56"/>
        <v/>
      </c>
      <c r="CO32" s="131">
        <f t="shared" si="57"/>
        <v>1</v>
      </c>
      <c r="CP32" s="131" t="str">
        <f t="shared" si="58"/>
        <v/>
      </c>
    </row>
    <row r="33" spans="1:94" s="90" customFormat="1" ht="16.149999999999999" customHeight="1" x14ac:dyDescent="0.3">
      <c r="A33" s="737"/>
      <c r="B33" s="93">
        <v>2</v>
      </c>
      <c r="C33" s="241" t="s">
        <v>302</v>
      </c>
      <c r="D33" s="435"/>
      <c r="E33" s="436"/>
      <c r="F33" s="437"/>
      <c r="G33" s="437"/>
      <c r="H33" s="437"/>
      <c r="I33" s="437"/>
      <c r="J33" s="437"/>
      <c r="K33" s="437"/>
      <c r="L33" s="438"/>
      <c r="M33" s="438"/>
      <c r="N33" s="439" t="s">
        <v>512</v>
      </c>
      <c r="O33" s="440"/>
      <c r="P33" s="438"/>
      <c r="Q33" s="438"/>
      <c r="R33" s="438"/>
      <c r="S33" s="438"/>
      <c r="T33" s="438"/>
      <c r="U33" s="438"/>
      <c r="V33" s="438"/>
      <c r="W33" s="438"/>
      <c r="X33" s="438"/>
      <c r="Y33" s="438"/>
      <c r="Z33" s="438"/>
      <c r="AA33" s="438"/>
      <c r="AB33" s="438"/>
      <c r="AC33" s="438"/>
      <c r="AD33" s="438"/>
      <c r="AE33" s="441"/>
      <c r="AF33" s="131" t="str">
        <f t="shared" si="63"/>
        <v/>
      </c>
      <c r="AG33" s="131" t="str">
        <f t="shared" si="59"/>
        <v/>
      </c>
      <c r="AH33" s="131" t="str">
        <f t="shared" si="60"/>
        <v/>
      </c>
      <c r="AI33" s="131" t="str">
        <f t="shared" si="61"/>
        <v/>
      </c>
      <c r="AJ33" s="131" t="str">
        <f t="shared" si="62"/>
        <v/>
      </c>
      <c r="AK33" s="131" t="str">
        <f t="shared" si="1"/>
        <v/>
      </c>
      <c r="AL33" s="131" t="str">
        <f t="shared" si="2"/>
        <v/>
      </c>
      <c r="AM33" s="131" t="str">
        <f t="shared" si="3"/>
        <v/>
      </c>
      <c r="AN33" s="131" t="str">
        <f t="shared" si="64"/>
        <v/>
      </c>
      <c r="AO33" s="131" t="str">
        <f t="shared" si="5"/>
        <v/>
      </c>
      <c r="AP33" s="131" t="str">
        <f t="shared" si="6"/>
        <v/>
      </c>
      <c r="AQ33" s="131" t="str">
        <f t="shared" si="7"/>
        <v/>
      </c>
      <c r="AR33" s="131" t="str">
        <f t="shared" si="8"/>
        <v/>
      </c>
      <c r="AS33" s="131" t="str">
        <f t="shared" si="9"/>
        <v/>
      </c>
      <c r="AT33" s="131" t="str">
        <f t="shared" si="10"/>
        <v/>
      </c>
      <c r="AU33" s="131" t="str">
        <f t="shared" si="11"/>
        <v/>
      </c>
      <c r="AV33" s="131" t="str">
        <f t="shared" si="12"/>
        <v/>
      </c>
      <c r="AW33" s="131" t="str">
        <f t="shared" si="13"/>
        <v/>
      </c>
      <c r="AX33" s="131" t="str">
        <f t="shared" si="14"/>
        <v/>
      </c>
      <c r="AY33" s="131" t="str">
        <f t="shared" si="15"/>
        <v/>
      </c>
      <c r="AZ33" s="131" t="str">
        <f t="shared" si="16"/>
        <v/>
      </c>
      <c r="BA33" s="131" t="str">
        <f t="shared" si="17"/>
        <v/>
      </c>
      <c r="BB33" s="131" t="str">
        <f t="shared" si="18"/>
        <v/>
      </c>
      <c r="BC33" s="131" t="str">
        <f t="shared" si="19"/>
        <v/>
      </c>
      <c r="BD33" s="131" t="str">
        <f t="shared" si="20"/>
        <v/>
      </c>
      <c r="BE33" s="131" t="str">
        <f t="shared" si="21"/>
        <v/>
      </c>
      <c r="BF33" s="131" t="str">
        <f t="shared" si="22"/>
        <v/>
      </c>
      <c r="BG33" s="131" t="str">
        <f t="shared" si="23"/>
        <v/>
      </c>
      <c r="BH33" s="131" t="str">
        <f t="shared" si="24"/>
        <v/>
      </c>
      <c r="BI33" s="131" t="str">
        <f t="shared" si="25"/>
        <v/>
      </c>
      <c r="BJ33" s="131" t="str">
        <f t="shared" si="26"/>
        <v/>
      </c>
      <c r="BK33" s="131" t="str">
        <f t="shared" si="27"/>
        <v/>
      </c>
      <c r="BL33" s="131" t="str">
        <f t="shared" si="28"/>
        <v/>
      </c>
      <c r="BM33" s="131" t="str">
        <f t="shared" si="29"/>
        <v/>
      </c>
      <c r="BN33" s="131" t="str">
        <f t="shared" si="30"/>
        <v/>
      </c>
      <c r="BO33" s="131" t="str">
        <f t="shared" si="31"/>
        <v/>
      </c>
      <c r="BP33" s="131" t="str">
        <f t="shared" si="32"/>
        <v/>
      </c>
      <c r="BQ33" s="131" t="str">
        <f t="shared" si="33"/>
        <v/>
      </c>
      <c r="BR33" s="131" t="str">
        <f t="shared" si="34"/>
        <v/>
      </c>
      <c r="BS33" s="131" t="str">
        <f t="shared" si="35"/>
        <v/>
      </c>
      <c r="BT33" s="131" t="str">
        <f t="shared" si="36"/>
        <v/>
      </c>
      <c r="BU33" s="131" t="str">
        <f t="shared" si="37"/>
        <v/>
      </c>
      <c r="BV33" s="131" t="str">
        <f t="shared" si="38"/>
        <v/>
      </c>
      <c r="BW33" s="131" t="str">
        <f t="shared" si="39"/>
        <v/>
      </c>
      <c r="BX33" s="131" t="str">
        <f t="shared" si="40"/>
        <v/>
      </c>
      <c r="BY33" s="131" t="str">
        <f t="shared" si="41"/>
        <v/>
      </c>
      <c r="BZ33" s="131" t="str">
        <f t="shared" si="42"/>
        <v/>
      </c>
      <c r="CA33" s="131" t="str">
        <f t="shared" si="43"/>
        <v/>
      </c>
      <c r="CB33" s="131" t="str">
        <f t="shared" si="44"/>
        <v/>
      </c>
      <c r="CC33" s="131" t="str">
        <f t="shared" si="45"/>
        <v/>
      </c>
      <c r="CD33" s="131" t="str">
        <f t="shared" si="46"/>
        <v/>
      </c>
      <c r="CE33" s="131" t="str">
        <f t="shared" si="47"/>
        <v/>
      </c>
      <c r="CF33" s="131" t="str">
        <f t="shared" si="48"/>
        <v/>
      </c>
      <c r="CG33" s="131" t="str">
        <f t="shared" si="49"/>
        <v/>
      </c>
      <c r="CH33" s="131" t="str">
        <f t="shared" si="50"/>
        <v/>
      </c>
      <c r="CI33" s="131" t="str">
        <f t="shared" si="51"/>
        <v/>
      </c>
      <c r="CJ33" s="131" t="str">
        <f t="shared" si="52"/>
        <v/>
      </c>
      <c r="CK33" s="131" t="str">
        <f t="shared" si="53"/>
        <v/>
      </c>
      <c r="CL33" s="131" t="str">
        <f t="shared" si="54"/>
        <v/>
      </c>
      <c r="CM33" s="131" t="str">
        <f t="shared" si="55"/>
        <v/>
      </c>
      <c r="CN33" s="131" t="str">
        <f t="shared" si="56"/>
        <v/>
      </c>
      <c r="CO33" s="131" t="str">
        <f t="shared" si="57"/>
        <v/>
      </c>
      <c r="CP33" s="131" t="str">
        <f t="shared" si="58"/>
        <v/>
      </c>
    </row>
    <row r="34" spans="1:94" s="90" customFormat="1" ht="16.149999999999999" customHeight="1" thickBot="1" x14ac:dyDescent="0.35">
      <c r="A34" s="744"/>
      <c r="B34" s="261"/>
      <c r="C34" s="262"/>
      <c r="D34" s="442"/>
      <c r="E34" s="443"/>
      <c r="F34" s="444"/>
      <c r="G34" s="444"/>
      <c r="H34" s="444"/>
      <c r="I34" s="444"/>
      <c r="J34" s="444"/>
      <c r="K34" s="444"/>
      <c r="L34" s="444"/>
      <c r="M34" s="444"/>
      <c r="N34" s="442" t="s">
        <v>530</v>
      </c>
      <c r="O34" s="443"/>
      <c r="P34" s="444"/>
      <c r="Q34" s="444"/>
      <c r="R34" s="444"/>
      <c r="S34" s="444"/>
      <c r="T34" s="444"/>
      <c r="U34" s="444"/>
      <c r="V34" s="444"/>
      <c r="W34" s="444"/>
      <c r="X34" s="444"/>
      <c r="Y34" s="444"/>
      <c r="Z34" s="444"/>
      <c r="AA34" s="444"/>
      <c r="AB34" s="444"/>
      <c r="AC34" s="444"/>
      <c r="AD34" s="444"/>
      <c r="AE34" s="445"/>
      <c r="AF34" s="131" t="str">
        <f t="shared" si="63"/>
        <v/>
      </c>
      <c r="AG34" s="131" t="str">
        <f t="shared" si="59"/>
        <v/>
      </c>
      <c r="AH34" s="131" t="str">
        <f t="shared" si="60"/>
        <v/>
      </c>
      <c r="AI34" s="131" t="str">
        <f t="shared" si="61"/>
        <v/>
      </c>
      <c r="AJ34" s="131" t="str">
        <f t="shared" si="62"/>
        <v/>
      </c>
      <c r="AK34" s="131" t="str">
        <f t="shared" si="1"/>
        <v/>
      </c>
      <c r="AL34" s="131" t="str">
        <f t="shared" si="2"/>
        <v/>
      </c>
      <c r="AM34" s="131" t="str">
        <f t="shared" si="3"/>
        <v/>
      </c>
      <c r="AN34" s="131" t="str">
        <f t="shared" si="64"/>
        <v/>
      </c>
      <c r="AO34" s="131" t="str">
        <f t="shared" si="5"/>
        <v/>
      </c>
      <c r="AP34" s="131" t="str">
        <f t="shared" si="6"/>
        <v/>
      </c>
      <c r="AQ34" s="131" t="str">
        <f t="shared" si="7"/>
        <v/>
      </c>
      <c r="AR34" s="131" t="str">
        <f t="shared" si="8"/>
        <v/>
      </c>
      <c r="AS34" s="131" t="str">
        <f t="shared" si="9"/>
        <v/>
      </c>
      <c r="AT34" s="131" t="str">
        <f t="shared" si="10"/>
        <v/>
      </c>
      <c r="AU34" s="131" t="str">
        <f t="shared" si="11"/>
        <v/>
      </c>
      <c r="AV34" s="131" t="str">
        <f t="shared" si="12"/>
        <v/>
      </c>
      <c r="AW34" s="131" t="str">
        <f t="shared" si="13"/>
        <v/>
      </c>
      <c r="AX34" s="131" t="str">
        <f t="shared" si="14"/>
        <v/>
      </c>
      <c r="AY34" s="131" t="str">
        <f t="shared" si="15"/>
        <v/>
      </c>
      <c r="AZ34" s="131" t="str">
        <f t="shared" si="16"/>
        <v/>
      </c>
      <c r="BA34" s="131" t="str">
        <f t="shared" si="17"/>
        <v/>
      </c>
      <c r="BB34" s="131" t="str">
        <f t="shared" si="18"/>
        <v/>
      </c>
      <c r="BC34" s="131" t="str">
        <f t="shared" si="19"/>
        <v/>
      </c>
      <c r="BD34" s="131" t="str">
        <f t="shared" si="20"/>
        <v/>
      </c>
      <c r="BE34" s="131" t="str">
        <f t="shared" si="21"/>
        <v/>
      </c>
      <c r="BF34" s="131" t="str">
        <f t="shared" si="22"/>
        <v/>
      </c>
      <c r="BG34" s="131" t="str">
        <f t="shared" si="23"/>
        <v/>
      </c>
      <c r="BH34" s="131" t="str">
        <f t="shared" si="24"/>
        <v/>
      </c>
      <c r="BI34" s="131" t="str">
        <f t="shared" si="25"/>
        <v/>
      </c>
      <c r="BJ34" s="131" t="str">
        <f t="shared" si="26"/>
        <v/>
      </c>
      <c r="BK34" s="131" t="str">
        <f t="shared" si="27"/>
        <v/>
      </c>
      <c r="BL34" s="131" t="str">
        <f t="shared" si="28"/>
        <v/>
      </c>
      <c r="BM34" s="131" t="str">
        <f t="shared" si="29"/>
        <v/>
      </c>
      <c r="BN34" s="131" t="str">
        <f t="shared" si="30"/>
        <v/>
      </c>
      <c r="BO34" s="131" t="str">
        <f t="shared" si="31"/>
        <v/>
      </c>
      <c r="BP34" s="131" t="str">
        <f t="shared" si="32"/>
        <v/>
      </c>
      <c r="BQ34" s="131" t="str">
        <f t="shared" si="33"/>
        <v/>
      </c>
      <c r="BR34" s="131" t="str">
        <f t="shared" si="34"/>
        <v/>
      </c>
      <c r="BS34" s="131" t="str">
        <f t="shared" si="35"/>
        <v/>
      </c>
      <c r="BT34" s="131" t="str">
        <f t="shared" si="36"/>
        <v/>
      </c>
      <c r="BU34" s="131" t="str">
        <f t="shared" si="37"/>
        <v/>
      </c>
      <c r="BV34" s="131" t="str">
        <f t="shared" si="38"/>
        <v/>
      </c>
      <c r="BW34" s="131" t="str">
        <f t="shared" si="39"/>
        <v/>
      </c>
      <c r="BX34" s="131" t="str">
        <f t="shared" si="40"/>
        <v/>
      </c>
      <c r="BY34" s="131" t="str">
        <f t="shared" si="41"/>
        <v/>
      </c>
      <c r="BZ34" s="131" t="str">
        <f t="shared" si="42"/>
        <v/>
      </c>
      <c r="CA34" s="131" t="str">
        <f t="shared" si="43"/>
        <v/>
      </c>
      <c r="CB34" s="131" t="str">
        <f t="shared" si="44"/>
        <v/>
      </c>
      <c r="CC34" s="131" t="str">
        <f t="shared" si="45"/>
        <v/>
      </c>
      <c r="CD34" s="131" t="str">
        <f t="shared" si="46"/>
        <v/>
      </c>
      <c r="CE34" s="131" t="str">
        <f t="shared" si="47"/>
        <v/>
      </c>
      <c r="CF34" s="131" t="str">
        <f t="shared" si="48"/>
        <v/>
      </c>
      <c r="CG34" s="131" t="str">
        <f t="shared" si="49"/>
        <v/>
      </c>
      <c r="CH34" s="131" t="str">
        <f t="shared" si="50"/>
        <v/>
      </c>
      <c r="CI34" s="131" t="str">
        <f t="shared" si="51"/>
        <v/>
      </c>
      <c r="CJ34" s="131" t="str">
        <f t="shared" si="52"/>
        <v/>
      </c>
      <c r="CK34" s="131" t="str">
        <f t="shared" si="53"/>
        <v/>
      </c>
      <c r="CL34" s="131" t="str">
        <f t="shared" si="54"/>
        <v/>
      </c>
      <c r="CM34" s="131" t="str">
        <f t="shared" si="55"/>
        <v/>
      </c>
      <c r="CN34" s="131" t="str">
        <f t="shared" si="56"/>
        <v/>
      </c>
      <c r="CO34" s="131" t="str">
        <f t="shared" si="57"/>
        <v/>
      </c>
      <c r="CP34" s="131" t="str">
        <f t="shared" si="58"/>
        <v/>
      </c>
    </row>
    <row r="35" spans="1:94" s="90" customFormat="1" ht="15.6" customHeight="1" thickTop="1" x14ac:dyDescent="0.3">
      <c r="A35" s="313"/>
      <c r="B35" s="314"/>
      <c r="C35" s="315"/>
      <c r="D35" s="316"/>
      <c r="E35" s="317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467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</row>
    <row r="36" spans="1:94" s="90" customFormat="1" ht="15.6" customHeight="1" thickBot="1" x14ac:dyDescent="0.35">
      <c r="A36" s="468"/>
      <c r="B36" s="469"/>
      <c r="C36" s="470"/>
      <c r="D36" s="471"/>
      <c r="E36" s="472"/>
      <c r="F36" s="473"/>
      <c r="G36" s="473"/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3"/>
      <c r="S36" s="473"/>
      <c r="T36" s="473"/>
      <c r="U36" s="473"/>
      <c r="V36" s="473"/>
      <c r="W36" s="473"/>
      <c r="X36" s="473"/>
      <c r="Y36" s="473"/>
      <c r="Z36" s="473"/>
      <c r="AA36" s="473"/>
      <c r="AB36" s="473"/>
      <c r="AC36" s="473"/>
      <c r="AD36" s="473"/>
      <c r="AE36" s="474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</row>
    <row r="37" spans="1:94" s="172" customFormat="1" ht="19.5" thickTop="1" x14ac:dyDescent="0.3">
      <c r="A37" s="300"/>
      <c r="B37" s="301"/>
      <c r="C37" s="302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 t="s">
        <v>459</v>
      </c>
      <c r="P37" s="301"/>
      <c r="Q37" s="301"/>
      <c r="R37" s="301"/>
      <c r="S37" s="303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1"/>
      <c r="AE37" s="304"/>
      <c r="AF37" s="176">
        <f t="shared" ref="AF37:BK37" si="65">SUM(AF7:AF31)+SUM(AF39:AF60)</f>
        <v>13</v>
      </c>
      <c r="AG37" s="176">
        <f t="shared" si="65"/>
        <v>8</v>
      </c>
      <c r="AH37" s="176">
        <f t="shared" si="65"/>
        <v>12</v>
      </c>
      <c r="AI37" s="176">
        <f t="shared" si="65"/>
        <v>12</v>
      </c>
      <c r="AJ37" s="176">
        <f t="shared" si="65"/>
        <v>16</v>
      </c>
      <c r="AK37" s="176">
        <f t="shared" si="65"/>
        <v>14</v>
      </c>
      <c r="AL37" s="176">
        <f t="shared" si="65"/>
        <v>12</v>
      </c>
      <c r="AM37" s="176">
        <f t="shared" si="65"/>
        <v>10</v>
      </c>
      <c r="AN37" s="176">
        <f t="shared" si="65"/>
        <v>0</v>
      </c>
      <c r="AO37" s="176">
        <f t="shared" si="65"/>
        <v>4</v>
      </c>
      <c r="AP37" s="176">
        <f t="shared" si="65"/>
        <v>4</v>
      </c>
      <c r="AQ37" s="176">
        <f t="shared" si="65"/>
        <v>16</v>
      </c>
      <c r="AR37" s="176">
        <f t="shared" si="65"/>
        <v>0</v>
      </c>
      <c r="AS37" s="176">
        <f t="shared" si="65"/>
        <v>16</v>
      </c>
      <c r="AT37" s="176">
        <f t="shared" si="65"/>
        <v>12</v>
      </c>
      <c r="AU37" s="176">
        <f t="shared" si="65"/>
        <v>4</v>
      </c>
      <c r="AV37" s="176">
        <f t="shared" si="65"/>
        <v>12</v>
      </c>
      <c r="AW37" s="176">
        <f t="shared" si="65"/>
        <v>12</v>
      </c>
      <c r="AX37" s="176">
        <f t="shared" si="65"/>
        <v>11</v>
      </c>
      <c r="AY37" s="176">
        <f t="shared" si="65"/>
        <v>16</v>
      </c>
      <c r="AZ37" s="176">
        <f t="shared" si="65"/>
        <v>6</v>
      </c>
      <c r="BA37" s="176">
        <f t="shared" si="65"/>
        <v>6</v>
      </c>
      <c r="BB37" s="176">
        <f t="shared" si="65"/>
        <v>9</v>
      </c>
      <c r="BC37" s="176">
        <f t="shared" si="65"/>
        <v>12</v>
      </c>
      <c r="BD37" s="176">
        <f t="shared" si="65"/>
        <v>9</v>
      </c>
      <c r="BE37" s="176">
        <f t="shared" si="65"/>
        <v>0</v>
      </c>
      <c r="BF37" s="176">
        <f t="shared" si="65"/>
        <v>3</v>
      </c>
      <c r="BG37" s="176">
        <f t="shared" si="65"/>
        <v>11</v>
      </c>
      <c r="BH37" s="176">
        <f t="shared" si="65"/>
        <v>9</v>
      </c>
      <c r="BI37" s="176">
        <f t="shared" si="65"/>
        <v>0</v>
      </c>
      <c r="BJ37" s="176">
        <f t="shared" si="65"/>
        <v>3</v>
      </c>
      <c r="BK37" s="176">
        <f t="shared" si="65"/>
        <v>15</v>
      </c>
      <c r="BL37" s="176">
        <f t="shared" ref="BL37:CP37" si="66">SUM(BL7:BL31)+SUM(BL39:BL60)</f>
        <v>3</v>
      </c>
      <c r="BM37" s="176">
        <f t="shared" si="66"/>
        <v>13</v>
      </c>
      <c r="BN37" s="176">
        <f t="shared" si="66"/>
        <v>16</v>
      </c>
      <c r="BO37" s="176">
        <f t="shared" si="66"/>
        <v>17</v>
      </c>
      <c r="BP37" s="176">
        <f t="shared" si="66"/>
        <v>14</v>
      </c>
      <c r="BQ37" s="176">
        <f t="shared" si="66"/>
        <v>5</v>
      </c>
      <c r="BR37" s="176">
        <f t="shared" si="66"/>
        <v>17</v>
      </c>
      <c r="BS37" s="176">
        <f t="shared" si="66"/>
        <v>0</v>
      </c>
      <c r="BT37" s="176">
        <f t="shared" si="66"/>
        <v>14</v>
      </c>
      <c r="BU37" s="176">
        <f t="shared" ref="BU37" si="67">SUM(BU7:BU31)+SUM(BU39:BU60)</f>
        <v>0</v>
      </c>
      <c r="BV37" s="176">
        <f t="shared" si="66"/>
        <v>14</v>
      </c>
      <c r="BW37" s="176">
        <f t="shared" si="66"/>
        <v>12</v>
      </c>
      <c r="BX37" s="176">
        <f t="shared" si="66"/>
        <v>17</v>
      </c>
      <c r="BY37" s="176">
        <f t="shared" ref="BY37" si="68">SUM(BY7:BY31)+SUM(BY39:BY60)</f>
        <v>7</v>
      </c>
      <c r="BZ37" s="176">
        <f t="shared" si="66"/>
        <v>6</v>
      </c>
      <c r="CA37" s="176">
        <f t="shared" si="66"/>
        <v>9</v>
      </c>
      <c r="CB37" s="176">
        <f t="shared" si="66"/>
        <v>15</v>
      </c>
      <c r="CC37" s="176">
        <f t="shared" si="66"/>
        <v>9</v>
      </c>
      <c r="CD37" s="176">
        <f t="shared" si="66"/>
        <v>15</v>
      </c>
      <c r="CE37" s="176">
        <f t="shared" si="66"/>
        <v>12</v>
      </c>
      <c r="CF37" s="176">
        <f t="shared" si="66"/>
        <v>15</v>
      </c>
      <c r="CG37" s="176">
        <f t="shared" si="66"/>
        <v>12</v>
      </c>
      <c r="CH37" s="176">
        <f t="shared" si="66"/>
        <v>18</v>
      </c>
      <c r="CI37" s="176">
        <f t="shared" si="66"/>
        <v>12</v>
      </c>
      <c r="CJ37" s="176">
        <f t="shared" si="66"/>
        <v>0</v>
      </c>
      <c r="CK37" s="176">
        <f t="shared" si="66"/>
        <v>8</v>
      </c>
      <c r="CL37" s="176">
        <f t="shared" ref="CL37" si="69">SUM(CL7:CL31)+SUM(CL39:CL60)</f>
        <v>16</v>
      </c>
      <c r="CM37" s="176">
        <f t="shared" si="66"/>
        <v>18</v>
      </c>
      <c r="CN37" s="176">
        <f t="shared" si="66"/>
        <v>14</v>
      </c>
      <c r="CO37" s="176">
        <f t="shared" si="66"/>
        <v>12</v>
      </c>
      <c r="CP37" s="176">
        <f t="shared" si="66"/>
        <v>16</v>
      </c>
    </row>
    <row r="38" spans="1:94" s="172" customFormat="1" ht="19.5" thickBot="1" x14ac:dyDescent="0.35">
      <c r="A38" s="305"/>
      <c r="B38" s="306"/>
      <c r="C38" s="307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8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11" t="s">
        <v>511</v>
      </c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76"/>
      <c r="CH38" s="176"/>
      <c r="CI38" s="176"/>
      <c r="CJ38" s="176"/>
      <c r="CK38" s="176"/>
      <c r="CL38" s="176"/>
      <c r="CM38" s="176"/>
      <c r="CN38" s="176"/>
      <c r="CO38" s="176"/>
      <c r="CP38" s="176"/>
    </row>
    <row r="39" spans="1:94" s="174" customFormat="1" ht="15" customHeight="1" thickTop="1" x14ac:dyDescent="0.25">
      <c r="A39" s="178" t="s">
        <v>188</v>
      </c>
      <c r="B39" s="179"/>
      <c r="C39" s="243" t="s">
        <v>455</v>
      </c>
      <c r="D39" s="295" t="str">
        <f t="shared" ref="D39:AD39" si="70">D4</f>
        <v>10A1</v>
      </c>
      <c r="E39" s="295" t="str">
        <f t="shared" si="70"/>
        <v>10A2</v>
      </c>
      <c r="F39" s="295" t="str">
        <f t="shared" si="70"/>
        <v>10A3</v>
      </c>
      <c r="G39" s="295" t="str">
        <f t="shared" si="70"/>
        <v>10A4</v>
      </c>
      <c r="H39" s="295" t="str">
        <f t="shared" si="70"/>
        <v>10A5</v>
      </c>
      <c r="I39" s="295" t="str">
        <f t="shared" si="70"/>
        <v>10A6</v>
      </c>
      <c r="J39" s="295" t="str">
        <f t="shared" si="70"/>
        <v>10A7</v>
      </c>
      <c r="K39" s="295" t="str">
        <f t="shared" si="70"/>
        <v>10A8</v>
      </c>
      <c r="L39" s="295" t="str">
        <f>L4</f>
        <v>11A1</v>
      </c>
      <c r="M39" s="295" t="str">
        <f t="shared" si="70"/>
        <v>11A2</v>
      </c>
      <c r="N39" s="295" t="str">
        <f t="shared" si="70"/>
        <v>11A3</v>
      </c>
      <c r="O39" s="295" t="str">
        <f t="shared" si="70"/>
        <v>11A4</v>
      </c>
      <c r="P39" s="295" t="str">
        <f t="shared" si="70"/>
        <v>11A5</v>
      </c>
      <c r="Q39" s="295" t="str">
        <f t="shared" si="70"/>
        <v>11A6</v>
      </c>
      <c r="R39" s="295" t="str">
        <f t="shared" si="70"/>
        <v>11A7</v>
      </c>
      <c r="S39" s="295" t="str">
        <f t="shared" si="70"/>
        <v>11A8</v>
      </c>
      <c r="T39" s="295" t="str">
        <f t="shared" si="70"/>
        <v>11A9</v>
      </c>
      <c r="U39" s="295" t="str">
        <f t="shared" si="70"/>
        <v>11A10</v>
      </c>
      <c r="V39" s="295" t="str">
        <f t="shared" si="70"/>
        <v>12A1</v>
      </c>
      <c r="W39" s="295" t="str">
        <f t="shared" si="70"/>
        <v>12A2</v>
      </c>
      <c r="X39" s="295" t="str">
        <f t="shared" si="70"/>
        <v>12A3</v>
      </c>
      <c r="Y39" s="295" t="str">
        <f t="shared" si="70"/>
        <v>12A4</v>
      </c>
      <c r="Z39" s="295" t="str">
        <f t="shared" si="70"/>
        <v>12A5</v>
      </c>
      <c r="AA39" s="295" t="str">
        <f t="shared" si="70"/>
        <v>12A6</v>
      </c>
      <c r="AB39" s="295" t="str">
        <f t="shared" si="70"/>
        <v>12A7</v>
      </c>
      <c r="AC39" s="295" t="str">
        <f t="shared" si="70"/>
        <v>12A8</v>
      </c>
      <c r="AD39" s="295" t="str">
        <f t="shared" si="70"/>
        <v>12A9</v>
      </c>
      <c r="AE39" s="296" t="str">
        <f>AE4</f>
        <v>12A10</v>
      </c>
      <c r="AF39" s="173" t="str">
        <f t="shared" ref="AF39:AF59" si="71">IF(COUNTIF($D39:$AE39,"T2")&gt;=1,COUNTIF($D39:$AE39,"T2"),"")</f>
        <v/>
      </c>
      <c r="AG39" s="173" t="str">
        <f t="shared" ref="AG39:AG60" si="72">IF(COUNTIF($D39:$AE39,"T3")&gt;=1,COUNTIF($D39:$AE39,"T3"),"")</f>
        <v/>
      </c>
      <c r="AH39" s="173" t="str">
        <f t="shared" ref="AH39:AH60" si="73">IF(COUNTIF($D39:$AE39,"T4")&gt;=1,COUNTIF($D39:$AE39,"T4"),"")</f>
        <v/>
      </c>
      <c r="AI39" s="173" t="str">
        <f t="shared" ref="AI39:AI60" si="74">IF(COUNTIF($D39:$AE39,"T5")&gt;=1,COUNTIF($D39:$AE39,"T5"),"")</f>
        <v/>
      </c>
      <c r="AJ39" s="173" t="str">
        <f t="shared" ref="AJ39:AJ60" si="75">IF(COUNTIF($D39:$AE39,"TT1")&gt;=1,COUNTIF($D39:$AE39,"TT1"),"")</f>
        <v/>
      </c>
      <c r="AK39" s="173" t="str">
        <f t="shared" ref="AK39:AK60" si="76">IF(COUNTIF($D39:$AE39,"TT2")&gt;=1,COUNTIF($D39:$AE39,"TT2"),"")</f>
        <v/>
      </c>
      <c r="AL39" s="173" t="str">
        <f t="shared" ref="AL39:AL60" si="77">IF(COUNTIF($D39:$AE39,"TT3")&gt;=1,COUNTIF($D39:$AE39,"TT3"),"")</f>
        <v/>
      </c>
      <c r="AM39" s="173" t="str">
        <f t="shared" ref="AM39:AM60" si="78">IF(COUNTIF($D39:$AE39,"TT4")&gt;=1,COUNTIF($D39:$AE39,"TT4"),"")</f>
        <v/>
      </c>
      <c r="AN39" s="173" t="str">
        <f t="shared" ref="AN39:AN60" si="79">IF(COUNTIF($D39:$AE39,"TT5")&gt;=1,COUNTIF($D39:$AE39,"TT5"),"")</f>
        <v/>
      </c>
      <c r="AO39" s="173" t="str">
        <f t="shared" ref="AO39:AO60" si="80">IF(COUNTIF($D39:$AE39,"TT6")&gt;=1,COUNTIF($D39:$AE39,"TT6"),"")</f>
        <v/>
      </c>
      <c r="AP39" s="173" t="str">
        <f t="shared" ref="AP39:AP60" si="81">IF(COUNTIF($D39:$AE39,"TT7")&gt;=1,COUNTIF($D39:$AE39,"TT7"),"")</f>
        <v/>
      </c>
      <c r="AQ39" s="173" t="str">
        <f t="shared" ref="AQ39:AQ60" si="82">IF(COUNTIF($D39:$AE39,"TT9")&gt;=1,COUNTIF($D39:$AE39,"TT9"),"")</f>
        <v/>
      </c>
      <c r="AR39" s="173" t="str">
        <f t="shared" ref="AR39:AR60" si="83">IF(COUNTIF($D39:$AE39,"Tn3")&gt;=1,COUNTIF($D39:$AE39,"Tn3"),"")</f>
        <v/>
      </c>
      <c r="AS39" s="173" t="str">
        <f t="shared" ref="AS39:AS60" si="84">IF(COUNTIF($D39:$AE39,"Tn4")&gt;=1,COUNTIF($D39:$AE39,"Tn4"),"")</f>
        <v/>
      </c>
      <c r="AT39" s="173" t="str">
        <f t="shared" ref="AT39:AT60" si="85">IF(COUNTIF($D39:$AE39,"LC2")&gt;=1,COUNTIF($D39:$AE39,"LC2"),"")</f>
        <v/>
      </c>
      <c r="AU39" s="173" t="str">
        <f t="shared" ref="AU39:AU60" si="86">IF(COUNTIF($D39:$AE39,"LC3")&gt;=1,COUNTIF($D39:$AE39,"LC3"),"")</f>
        <v/>
      </c>
      <c r="AV39" s="173" t="str">
        <f t="shared" ref="AV39:AV60" si="87">IF(COUNTIF($D39:$AE39,"LC4")&gt;=1,COUNTIF($D39:$AE39,"LC4"),"")</f>
        <v/>
      </c>
      <c r="AW39" s="173" t="str">
        <f t="shared" ref="AW39:AW60" si="88">IF(COUNTIF($D39:$AE39,"LC5")&gt;=1,COUNTIF($D39:$AE39,"LC5"),"")</f>
        <v/>
      </c>
      <c r="AX39" s="173" t="str">
        <f t="shared" ref="AX39:AX60" si="89">IF(COUNTIF($D39:$AE39,"LC6")&gt;=1,COUNTIF($D39:$AE39,"LC6"),"")</f>
        <v/>
      </c>
      <c r="AY39" s="173" t="str">
        <f t="shared" ref="AY39:AY60" si="90">IF(COUNTIF($D39:$AE39,"LC7")&gt;=1,COUNTIF($D39:$AE39,"LC7"),"")</f>
        <v/>
      </c>
      <c r="AZ39" s="173" t="str">
        <f t="shared" ref="AZ39:AZ60" si="91">IF(COUNTIF($D39:$AE39,"LC8")&gt;=1,COUNTIF($D39:$AE39,"LC8"),"")</f>
        <v/>
      </c>
      <c r="BA39" s="173" t="str">
        <f t="shared" ref="BA39:BA60" si="92">IF(COUNTIF($D39:$AE39,"H1")&gt;=1,COUNTIF($D39:$AE39,"H1"),"")</f>
        <v/>
      </c>
      <c r="BB39" s="173" t="str">
        <f t="shared" ref="BB39:BB60" si="93">IF(COUNTIF($D39:$AE39,"H2")&gt;=1,COUNTIF($D39:$AE39,"H2"),"")</f>
        <v/>
      </c>
      <c r="BC39" s="173" t="str">
        <f t="shared" ref="BC39:BC60" si="94">IF(COUNTIF($D39:$AE39,"H3")&gt;=1,COUNTIF($D39:$AE39,"H3"),"")</f>
        <v/>
      </c>
      <c r="BD39" s="173" t="str">
        <f t="shared" ref="BD39:BD60" si="95">IF(COUNTIF($D39:$AE39,"H4")&gt;=1,COUNTIF($D39:$AE39,"H4"),"")</f>
        <v/>
      </c>
      <c r="BE39" s="173" t="str">
        <f t="shared" ref="BE39:BE60" si="96">IF(COUNTIF($D39:$AE39,"H5")&gt;=1,COUNTIF($D39:$AE39,"H5"),"")</f>
        <v/>
      </c>
      <c r="BF39" s="173" t="str">
        <f t="shared" ref="BF39:BF60" si="97">IF(COUNTIF($D39:$AE39,"SN1")&gt;=1,COUNTIF($D39:$AE39,"SN1"),"")</f>
        <v/>
      </c>
      <c r="BG39" s="173" t="str">
        <f t="shared" ref="BG39:BG60" si="98">IF(COUNTIF($D39:$AE39,"SN2")&gt;=1,COUNTIF($D39:$AE39,"SN2"),"")</f>
        <v/>
      </c>
      <c r="BH39" s="173" t="str">
        <f t="shared" ref="BH39:BH60" si="99">IF(COUNTIF($D39:$AE39,"SN3")&gt;=1,COUNTIF($D39:$AE39,"SN3"),"")</f>
        <v/>
      </c>
      <c r="BI39" s="173" t="str">
        <f t="shared" ref="BI39:BI60" si="100">IF(COUNTIF($D39:$AE39,"SN4")&gt;=1,COUNTIF($D39:$AE39,"SN4"),"")</f>
        <v/>
      </c>
      <c r="BJ39" s="173" t="str">
        <f t="shared" ref="BJ39:BJ60" si="101">IF(COUNTIF($D39:$AE39,"V1")&gt;=1,COUNTIF($D39:$AE39,"V1"),"")</f>
        <v/>
      </c>
      <c r="BK39" s="173" t="str">
        <f t="shared" ref="BK39:BK60" si="102">IF(COUNTIF($D39:$AE39,"V2")&gt;=1,COUNTIF($D39:$AE39,"V2"),"")</f>
        <v/>
      </c>
      <c r="BL39" s="173" t="str">
        <f t="shared" ref="BL39:BL60" si="103">IF(COUNTIF($D39:$AE39,"V3")&gt;=1,COUNTIF($D39:$AE39,"V3"),"")</f>
        <v/>
      </c>
      <c r="BM39" s="173" t="str">
        <f t="shared" ref="BM39:BM60" si="104">IF(COUNTIF($D39:$AE39,"V4")&gt;=1,COUNTIF($D39:$AE39,"V4"),"")</f>
        <v/>
      </c>
      <c r="BN39" s="173" t="str">
        <f t="shared" ref="BN39:BN60" si="105">IF(COUNTIF($D39:$AE39,"V5")&gt;=1,COUNTIF($D39:$AE39,"V5"),"")</f>
        <v/>
      </c>
      <c r="BO39" s="173" t="str">
        <f t="shared" ref="BO39:BO60" si="106">IF(COUNTIF($D39:$AE39,"V6")&gt;=1,COUNTIF($D39:$AE39,"V6"),"")</f>
        <v/>
      </c>
      <c r="BP39" s="173" t="str">
        <f t="shared" ref="BP39:BP60" si="107">IF(COUNTIF($D39:$AE39,"V7")&gt;=1,COUNTIF($D39:$AE39,"V7"),"")</f>
        <v/>
      </c>
      <c r="BQ39" s="173" t="str">
        <f t="shared" ref="BQ39:BQ60" si="108">IF(COUNTIF($D39:$AE39,"V8")&gt;=1,COUNTIF($D39:$AE39,"V8"),"")</f>
        <v/>
      </c>
      <c r="BR39" s="173" t="str">
        <f t="shared" ref="BR39:BR60" si="109">IF(COUNTIF($D39:$AE39,"V9")&gt;=1,COUNTIF($D39:$AE39,"V9"),"")</f>
        <v/>
      </c>
      <c r="BS39" s="173" t="str">
        <f t="shared" ref="BS39:BS60" si="110">IF(COUNTIF($D39:$AE39,"G1")&gt;=1,COUNTIF($D39:$AE39,"G1"),"")</f>
        <v/>
      </c>
      <c r="BT39" s="173" t="str">
        <f t="shared" ref="BT39:BT60" si="111">IF(COUNTIF($D39:$AE39,"G2")&gt;=1,COUNTIF($D39:$AE39,"G2"),"")</f>
        <v/>
      </c>
      <c r="BU39" s="173" t="str">
        <f t="shared" ref="BU39:BU60" si="112">IF(COUNTIF($D39:$AE39,"G3")&gt;=1,COUNTIF($D39:$AE39,"G3"),"")</f>
        <v/>
      </c>
      <c r="BV39" s="173" t="str">
        <f t="shared" ref="BV39:BV60" si="113">IF(COUNTIF($D39:$AE39,"SG1")&gt;=1,COUNTIF($D39:$AE39,"SG1"),"")</f>
        <v/>
      </c>
      <c r="BW39" s="173" t="str">
        <f t="shared" ref="BW39:BW60" si="114">IF(COUNTIF($D39:$AE39,"SG2")&gt;=1,COUNTIF($D39:$AE39,"SG2"),"")</f>
        <v/>
      </c>
      <c r="BX39" s="173" t="str">
        <f t="shared" ref="BX39:BX60" si="115">IF(COUNTIF($D39:$AE39,"SG3")&gt;=1,COUNTIF($D39:$AE39,"SG3"),"")</f>
        <v/>
      </c>
      <c r="BY39" s="173" t="str">
        <f t="shared" ref="BY39:BY60" si="116">IF(COUNTIF($D39:$AE39,"Sg4")&gt;=1,COUNTIF($D39:$AE39,"Sg4"),"")</f>
        <v/>
      </c>
      <c r="BZ39" s="173" t="str">
        <f t="shared" ref="BZ39:BZ60" si="117">IF(COUNTIF($D39:$AE39,"D2")&gt;=1,COUNTIF($D39:$AE39,"D2"),"")</f>
        <v/>
      </c>
      <c r="CA39" s="173" t="str">
        <f t="shared" ref="CA39:CA60" si="118">IF(COUNTIF($D39:$AE39,"D3")&gt;=1,COUNTIF($D39:$AE39,"D3"),"")</f>
        <v/>
      </c>
      <c r="CB39" s="173" t="str">
        <f t="shared" ref="CB39:CB60" si="119">IF(COUNTIF($D39:$AE39,"D4")&gt;=1,COUNTIF($D39:$AE39,"D4"),"")</f>
        <v/>
      </c>
      <c r="CC39" s="173" t="str">
        <f t="shared" ref="CC39:CC60" si="120">IF(COUNTIF($D39:$AE39,"D5")&gt;=1,COUNTIF($D39:$AE39,"D5"),"")</f>
        <v/>
      </c>
      <c r="CD39" s="173" t="str">
        <f t="shared" ref="CD39:CD60" si="121">IF(COUNTIF($D39:$AE39,"A1")&gt;=1,COUNTIF($D39:$AE39,"A1"),"")</f>
        <v/>
      </c>
      <c r="CE39" s="173" t="str">
        <f t="shared" ref="CE39:CE60" si="122">IF(COUNTIF($D39:$AE39,"A2")&gt;=1,COUNTIF($D39:$AE39,"A2"),"")</f>
        <v/>
      </c>
      <c r="CF39" s="173" t="str">
        <f t="shared" ref="CF39:CF60" si="123">IF(COUNTIF($D39:$AE39,"A3")&gt;=1,COUNTIF($D39:$AE39,"A3"),"")</f>
        <v/>
      </c>
      <c r="CG39" s="173" t="str">
        <f t="shared" ref="CG39:CG60" si="124">IF(COUNTIF($D39:$AE39,"A4")&gt;=1,COUNTIF($D39:$AE39,"A4"),"")</f>
        <v/>
      </c>
      <c r="CH39" s="173" t="str">
        <f t="shared" ref="CH39:CH60" si="125">IF(COUNTIF($D39:$AE39,"A5")&gt;=1,COUNTIF($D39:$AE39,"A5"),"")</f>
        <v/>
      </c>
      <c r="CI39" s="173" t="str">
        <f t="shared" ref="CI39:CI60" si="126">IF(COUNTIF($D39:$AE39,"A6")&gt;=1,COUNTIF($D39:$AE39,"A6"),"")</f>
        <v/>
      </c>
      <c r="CJ39" s="173" t="str">
        <f t="shared" ref="CJ39:CJ60" si="127">IF(COUNTIF($D39:$AE39,"Q1")&gt;=1,COUNTIF($D39:$AE39,"Q1"),"")</f>
        <v/>
      </c>
      <c r="CK39" s="173" t="str">
        <f t="shared" ref="CK39:CK60" si="128">IF(COUNTIF($D39:$AE39,"Q2")&gt;=1,COUNTIF($D39:$AE39,"Q2"),"")</f>
        <v/>
      </c>
      <c r="CL39" s="173" t="str">
        <f t="shared" ref="CL39:CL60" si="129">IF(COUNTIF($D39:$AE39,"Q3")&gt;=1,COUNTIF($D39:$AE39,"Q3"),"")</f>
        <v/>
      </c>
      <c r="CM39" s="173" t="str">
        <f t="shared" ref="CM39:CM60" si="130">IF(COUNTIF($D39:$AE39,"TQ1")&gt;=1,COUNTIF($D39:$AE39,"TQ1"),"")</f>
        <v/>
      </c>
      <c r="CN39" s="173" t="str">
        <f t="shared" ref="CN39:CN60" si="131">IF(COUNTIF($D39:$AE39,"TQ3")&gt;=1,COUNTIF($D39:$AE39,"TQ3"),"")</f>
        <v/>
      </c>
      <c r="CO39" s="173" t="str">
        <f t="shared" ref="CO39:CO60" si="132">IF(COUNTIF($D39:$AE39,"TQ4")&gt;=1,COUNTIF($D39:$AE39,"TQ4"),"")</f>
        <v/>
      </c>
      <c r="CP39" s="173" t="str">
        <f t="shared" ref="CP39:CP60" si="133">IF(COUNTIF($D39:$AE39,"TQ5")&gt;=1,COUNTIF($D39:$AE39,"TQ5"),"")</f>
        <v/>
      </c>
    </row>
    <row r="40" spans="1:94" ht="15" customHeight="1" x14ac:dyDescent="0.25">
      <c r="A40" s="743">
        <v>2</v>
      </c>
      <c r="B40" s="92">
        <v>1</v>
      </c>
      <c r="C40" s="240" t="s">
        <v>346</v>
      </c>
      <c r="D40" s="371"/>
      <c r="E40" s="383"/>
      <c r="F40" s="290"/>
      <c r="G40" s="290"/>
      <c r="H40" s="371"/>
      <c r="I40" s="368"/>
      <c r="J40" s="368"/>
      <c r="K40" s="368"/>
      <c r="L40" s="368"/>
      <c r="M40" s="368"/>
      <c r="N40" s="368"/>
      <c r="O40" s="371"/>
      <c r="P40" s="368"/>
      <c r="Q40" s="368"/>
      <c r="R40" s="368"/>
      <c r="S40" s="368"/>
      <c r="T40" s="368"/>
      <c r="U40" s="368"/>
      <c r="V40" s="368"/>
      <c r="W40" s="368"/>
      <c r="X40" s="290"/>
      <c r="Y40" s="368"/>
      <c r="Z40" s="299"/>
      <c r="AA40" s="368"/>
      <c r="AB40" s="368"/>
      <c r="AC40" s="333"/>
      <c r="AD40" s="334"/>
      <c r="AE40" s="372"/>
      <c r="AF40" s="63" t="str">
        <f>IF(COUNTIF($D40:$AE40,"T2")&gt;=1,COUNTIF($D40:$AE40,"T2"),"")</f>
        <v/>
      </c>
      <c r="AG40" s="63" t="str">
        <f t="shared" si="72"/>
        <v/>
      </c>
      <c r="AH40" s="63" t="str">
        <f t="shared" si="73"/>
        <v/>
      </c>
      <c r="AI40" s="63" t="str">
        <f t="shared" si="74"/>
        <v/>
      </c>
      <c r="AJ40" s="63" t="str">
        <f t="shared" si="75"/>
        <v/>
      </c>
      <c r="AK40" s="63" t="str">
        <f t="shared" si="76"/>
        <v/>
      </c>
      <c r="AL40" s="63" t="str">
        <f t="shared" si="77"/>
        <v/>
      </c>
      <c r="AM40" s="63" t="str">
        <f t="shared" si="78"/>
        <v/>
      </c>
      <c r="AN40" s="63" t="str">
        <f t="shared" si="79"/>
        <v/>
      </c>
      <c r="AO40" s="63" t="str">
        <f t="shared" si="80"/>
        <v/>
      </c>
      <c r="AP40" s="63" t="str">
        <f t="shared" si="81"/>
        <v/>
      </c>
      <c r="AQ40" s="63" t="str">
        <f t="shared" si="82"/>
        <v/>
      </c>
      <c r="AR40" s="63" t="str">
        <f t="shared" si="83"/>
        <v/>
      </c>
      <c r="AS40" s="63" t="str">
        <f t="shared" si="84"/>
        <v/>
      </c>
      <c r="AT40" s="63" t="str">
        <f t="shared" si="85"/>
        <v/>
      </c>
      <c r="AU40" s="63" t="str">
        <f t="shared" si="86"/>
        <v/>
      </c>
      <c r="AV40" s="63" t="str">
        <f t="shared" si="87"/>
        <v/>
      </c>
      <c r="AW40" s="63" t="str">
        <f t="shared" si="88"/>
        <v/>
      </c>
      <c r="AX40" s="63" t="str">
        <f t="shared" si="89"/>
        <v/>
      </c>
      <c r="AY40" s="63" t="str">
        <f t="shared" si="90"/>
        <v/>
      </c>
      <c r="AZ40" s="63" t="str">
        <f t="shared" si="91"/>
        <v/>
      </c>
      <c r="BA40" s="63" t="str">
        <f t="shared" si="92"/>
        <v/>
      </c>
      <c r="BB40" s="63" t="str">
        <f t="shared" si="93"/>
        <v/>
      </c>
      <c r="BC40" s="63" t="str">
        <f t="shared" si="94"/>
        <v/>
      </c>
      <c r="BD40" s="63" t="str">
        <f t="shared" si="95"/>
        <v/>
      </c>
      <c r="BE40" s="63" t="str">
        <f t="shared" si="96"/>
        <v/>
      </c>
      <c r="BF40" s="63" t="str">
        <f t="shared" si="97"/>
        <v/>
      </c>
      <c r="BG40" s="63" t="str">
        <f t="shared" si="98"/>
        <v/>
      </c>
      <c r="BH40" s="63" t="str">
        <f t="shared" si="99"/>
        <v/>
      </c>
      <c r="BI40" s="63" t="str">
        <f t="shared" si="100"/>
        <v/>
      </c>
      <c r="BJ40" s="63" t="str">
        <f t="shared" si="101"/>
        <v/>
      </c>
      <c r="BK40" s="63" t="str">
        <f t="shared" si="102"/>
        <v/>
      </c>
      <c r="BL40" s="63" t="str">
        <f t="shared" si="103"/>
        <v/>
      </c>
      <c r="BM40" s="63" t="str">
        <f t="shared" si="104"/>
        <v/>
      </c>
      <c r="BN40" s="63" t="str">
        <f t="shared" si="105"/>
        <v/>
      </c>
      <c r="BO40" s="63" t="str">
        <f t="shared" si="106"/>
        <v/>
      </c>
      <c r="BP40" s="63" t="str">
        <f t="shared" si="107"/>
        <v/>
      </c>
      <c r="BQ40" s="63" t="str">
        <f t="shared" si="108"/>
        <v/>
      </c>
      <c r="BR40" s="63" t="str">
        <f t="shared" si="109"/>
        <v/>
      </c>
      <c r="BS40" s="63" t="str">
        <f t="shared" si="110"/>
        <v/>
      </c>
      <c r="BT40" s="63" t="str">
        <f t="shared" si="111"/>
        <v/>
      </c>
      <c r="BU40" s="63" t="str">
        <f t="shared" si="112"/>
        <v/>
      </c>
      <c r="BV40" s="63" t="str">
        <f t="shared" si="113"/>
        <v/>
      </c>
      <c r="BW40" s="63" t="str">
        <f t="shared" si="114"/>
        <v/>
      </c>
      <c r="BX40" s="63" t="str">
        <f t="shared" si="115"/>
        <v/>
      </c>
      <c r="BY40" s="63" t="str">
        <f t="shared" si="116"/>
        <v/>
      </c>
      <c r="BZ40" s="63" t="str">
        <f t="shared" si="117"/>
        <v/>
      </c>
      <c r="CA40" s="63" t="str">
        <f t="shared" si="118"/>
        <v/>
      </c>
      <c r="CB40" s="63" t="str">
        <f t="shared" si="119"/>
        <v/>
      </c>
      <c r="CC40" s="63" t="str">
        <f t="shared" si="120"/>
        <v/>
      </c>
      <c r="CD40" s="63" t="str">
        <f t="shared" si="121"/>
        <v/>
      </c>
      <c r="CE40" s="63" t="str">
        <f t="shared" si="122"/>
        <v/>
      </c>
      <c r="CF40" s="63" t="str">
        <f t="shared" si="123"/>
        <v/>
      </c>
      <c r="CG40" s="63" t="str">
        <f t="shared" si="124"/>
        <v/>
      </c>
      <c r="CH40" s="63" t="str">
        <f t="shared" si="125"/>
        <v/>
      </c>
      <c r="CI40" s="63" t="str">
        <f t="shared" si="126"/>
        <v/>
      </c>
      <c r="CJ40" s="63" t="str">
        <f t="shared" si="127"/>
        <v/>
      </c>
      <c r="CK40" s="63" t="str">
        <f t="shared" si="128"/>
        <v/>
      </c>
      <c r="CL40" s="63" t="str">
        <f t="shared" si="129"/>
        <v/>
      </c>
      <c r="CM40" s="63" t="str">
        <f t="shared" si="130"/>
        <v/>
      </c>
      <c r="CN40" s="63" t="str">
        <f t="shared" si="131"/>
        <v/>
      </c>
      <c r="CO40" s="63" t="str">
        <f t="shared" si="132"/>
        <v/>
      </c>
      <c r="CP40" s="63" t="str">
        <f t="shared" si="133"/>
        <v/>
      </c>
    </row>
    <row r="41" spans="1:94" ht="15" customHeight="1" x14ac:dyDescent="0.25">
      <c r="A41" s="743"/>
      <c r="B41" s="93">
        <v>2</v>
      </c>
      <c r="C41" s="241" t="s">
        <v>347</v>
      </c>
      <c r="D41" s="384"/>
      <c r="E41" s="369"/>
      <c r="F41" s="369"/>
      <c r="G41" s="369"/>
      <c r="H41" s="369"/>
      <c r="I41" s="369"/>
      <c r="J41" s="369"/>
      <c r="K41" s="369"/>
      <c r="L41" s="299"/>
      <c r="M41" s="369"/>
      <c r="N41" s="299"/>
      <c r="O41" s="369"/>
      <c r="P41" s="369"/>
      <c r="Q41" s="369"/>
      <c r="R41" s="369"/>
      <c r="S41" s="369"/>
      <c r="T41" s="369"/>
      <c r="U41" s="369"/>
      <c r="V41" s="369"/>
      <c r="W41" s="369"/>
      <c r="X41" s="299"/>
      <c r="Y41" s="294"/>
      <c r="Z41" s="369"/>
      <c r="AA41" s="299"/>
      <c r="AB41" s="369"/>
      <c r="AC41" s="335"/>
      <c r="AD41" s="326"/>
      <c r="AE41" s="373"/>
      <c r="AF41" s="63" t="str">
        <f>IF(COUNTIF($D41:$AE41,"T2")&gt;=1,COUNTIF($D41:$AE41,"T2"),"")</f>
        <v/>
      </c>
      <c r="AG41" s="63" t="str">
        <f t="shared" si="72"/>
        <v/>
      </c>
      <c r="AH41" s="63" t="str">
        <f t="shared" si="73"/>
        <v/>
      </c>
      <c r="AI41" s="63" t="str">
        <f t="shared" si="74"/>
        <v/>
      </c>
      <c r="AJ41" s="63" t="str">
        <f t="shared" si="75"/>
        <v/>
      </c>
      <c r="AK41" s="63" t="str">
        <f t="shared" si="76"/>
        <v/>
      </c>
      <c r="AL41" s="63" t="str">
        <f t="shared" si="77"/>
        <v/>
      </c>
      <c r="AM41" s="63" t="str">
        <f t="shared" si="78"/>
        <v/>
      </c>
      <c r="AN41" s="63" t="str">
        <f t="shared" si="79"/>
        <v/>
      </c>
      <c r="AO41" s="63" t="str">
        <f t="shared" si="80"/>
        <v/>
      </c>
      <c r="AP41" s="63" t="str">
        <f t="shared" si="81"/>
        <v/>
      </c>
      <c r="AQ41" s="63" t="str">
        <f t="shared" si="82"/>
        <v/>
      </c>
      <c r="AR41" s="63" t="str">
        <f t="shared" si="83"/>
        <v/>
      </c>
      <c r="AS41" s="63" t="str">
        <f t="shared" si="84"/>
        <v/>
      </c>
      <c r="AT41" s="63" t="str">
        <f t="shared" si="85"/>
        <v/>
      </c>
      <c r="AU41" s="63" t="str">
        <f t="shared" si="86"/>
        <v/>
      </c>
      <c r="AV41" s="63" t="str">
        <f t="shared" si="87"/>
        <v/>
      </c>
      <c r="AW41" s="63" t="str">
        <f t="shared" si="88"/>
        <v/>
      </c>
      <c r="AX41" s="63" t="str">
        <f t="shared" si="89"/>
        <v/>
      </c>
      <c r="AY41" s="63" t="str">
        <f t="shared" si="90"/>
        <v/>
      </c>
      <c r="AZ41" s="63" t="str">
        <f t="shared" si="91"/>
        <v/>
      </c>
      <c r="BA41" s="63" t="str">
        <f t="shared" si="92"/>
        <v/>
      </c>
      <c r="BB41" s="63" t="str">
        <f t="shared" si="93"/>
        <v/>
      </c>
      <c r="BC41" s="63" t="str">
        <f t="shared" si="94"/>
        <v/>
      </c>
      <c r="BD41" s="63" t="str">
        <f t="shared" si="95"/>
        <v/>
      </c>
      <c r="BE41" s="63" t="str">
        <f t="shared" si="96"/>
        <v/>
      </c>
      <c r="BF41" s="63" t="str">
        <f t="shared" si="97"/>
        <v/>
      </c>
      <c r="BG41" s="63" t="str">
        <f t="shared" si="98"/>
        <v/>
      </c>
      <c r="BH41" s="63" t="str">
        <f t="shared" si="99"/>
        <v/>
      </c>
      <c r="BI41" s="63" t="str">
        <f t="shared" si="100"/>
        <v/>
      </c>
      <c r="BJ41" s="63" t="str">
        <f t="shared" si="101"/>
        <v/>
      </c>
      <c r="BK41" s="63" t="str">
        <f t="shared" si="102"/>
        <v/>
      </c>
      <c r="BL41" s="63" t="str">
        <f t="shared" si="103"/>
        <v/>
      </c>
      <c r="BM41" s="63" t="str">
        <f t="shared" si="104"/>
        <v/>
      </c>
      <c r="BN41" s="63" t="str">
        <f t="shared" si="105"/>
        <v/>
      </c>
      <c r="BO41" s="63" t="str">
        <f t="shared" si="106"/>
        <v/>
      </c>
      <c r="BP41" s="63" t="str">
        <f t="shared" si="107"/>
        <v/>
      </c>
      <c r="BQ41" s="63" t="str">
        <f t="shared" si="108"/>
        <v/>
      </c>
      <c r="BR41" s="63" t="str">
        <f t="shared" si="109"/>
        <v/>
      </c>
      <c r="BS41" s="63" t="str">
        <f t="shared" si="110"/>
        <v/>
      </c>
      <c r="BT41" s="63" t="str">
        <f t="shared" si="111"/>
        <v/>
      </c>
      <c r="BU41" s="63" t="str">
        <f t="shared" si="112"/>
        <v/>
      </c>
      <c r="BV41" s="63" t="str">
        <f t="shared" si="113"/>
        <v/>
      </c>
      <c r="BW41" s="63" t="str">
        <f t="shared" si="114"/>
        <v/>
      </c>
      <c r="BX41" s="63" t="str">
        <f t="shared" si="115"/>
        <v/>
      </c>
      <c r="BY41" s="63" t="str">
        <f t="shared" si="116"/>
        <v/>
      </c>
      <c r="BZ41" s="63" t="str">
        <f t="shared" si="117"/>
        <v/>
      </c>
      <c r="CA41" s="63" t="str">
        <f t="shared" si="118"/>
        <v/>
      </c>
      <c r="CB41" s="63" t="str">
        <f t="shared" si="119"/>
        <v/>
      </c>
      <c r="CC41" s="63" t="str">
        <f t="shared" si="120"/>
        <v/>
      </c>
      <c r="CD41" s="63" t="str">
        <f t="shared" si="121"/>
        <v/>
      </c>
      <c r="CE41" s="63" t="str">
        <f t="shared" si="122"/>
        <v/>
      </c>
      <c r="CF41" s="63" t="str">
        <f t="shared" si="123"/>
        <v/>
      </c>
      <c r="CG41" s="63" t="str">
        <f t="shared" si="124"/>
        <v/>
      </c>
      <c r="CH41" s="63" t="str">
        <f t="shared" si="125"/>
        <v/>
      </c>
      <c r="CI41" s="63" t="str">
        <f t="shared" si="126"/>
        <v/>
      </c>
      <c r="CJ41" s="63" t="str">
        <f t="shared" si="127"/>
        <v/>
      </c>
      <c r="CK41" s="63" t="str">
        <f t="shared" si="128"/>
        <v/>
      </c>
      <c r="CL41" s="63" t="str">
        <f t="shared" si="129"/>
        <v/>
      </c>
      <c r="CM41" s="63" t="str">
        <f t="shared" si="130"/>
        <v/>
      </c>
      <c r="CN41" s="63" t="str">
        <f t="shared" si="131"/>
        <v/>
      </c>
      <c r="CO41" s="63" t="str">
        <f t="shared" si="132"/>
        <v/>
      </c>
      <c r="CP41" s="63" t="str">
        <f t="shared" si="133"/>
        <v/>
      </c>
    </row>
    <row r="42" spans="1:94" ht="15" customHeight="1" x14ac:dyDescent="0.25">
      <c r="A42" s="743"/>
      <c r="B42" s="93">
        <v>3</v>
      </c>
      <c r="C42" s="241" t="s">
        <v>348</v>
      </c>
      <c r="D42" s="369"/>
      <c r="E42" s="384"/>
      <c r="F42" s="369"/>
      <c r="G42" s="294"/>
      <c r="H42" s="369"/>
      <c r="I42" s="369"/>
      <c r="J42" s="369"/>
      <c r="K42" s="385"/>
      <c r="L42" s="299"/>
      <c r="M42" s="299"/>
      <c r="N42" s="369"/>
      <c r="O42" s="369"/>
      <c r="P42" s="369"/>
      <c r="Q42" s="369"/>
      <c r="R42" s="294" t="s">
        <v>101</v>
      </c>
      <c r="S42" s="369" t="s">
        <v>102</v>
      </c>
      <c r="T42" s="369"/>
      <c r="U42" s="369"/>
      <c r="V42" s="369"/>
      <c r="W42" s="369"/>
      <c r="X42" s="369"/>
      <c r="Y42" s="369"/>
      <c r="Z42" s="294"/>
      <c r="AA42" s="369"/>
      <c r="AB42" s="299"/>
      <c r="AC42" s="326"/>
      <c r="AD42" s="335"/>
      <c r="AE42" s="373"/>
      <c r="AF42" s="63" t="str">
        <f t="shared" si="71"/>
        <v/>
      </c>
      <c r="AG42" s="63" t="str">
        <f t="shared" si="72"/>
        <v/>
      </c>
      <c r="AH42" s="63" t="str">
        <f>IF(COUNTIF($D42:$AE42,"T4")&gt;=1,COUNTIF($D42:$AE42,"T4"),"")</f>
        <v/>
      </c>
      <c r="AI42" s="63" t="str">
        <f t="shared" si="74"/>
        <v/>
      </c>
      <c r="AJ42" s="63" t="str">
        <f t="shared" si="75"/>
        <v/>
      </c>
      <c r="AK42" s="63" t="str">
        <f t="shared" si="76"/>
        <v/>
      </c>
      <c r="AL42" s="63" t="str">
        <f t="shared" si="77"/>
        <v/>
      </c>
      <c r="AM42" s="63" t="str">
        <f t="shared" si="78"/>
        <v/>
      </c>
      <c r="AN42" s="63" t="str">
        <f t="shared" si="79"/>
        <v/>
      </c>
      <c r="AO42" s="63" t="str">
        <f t="shared" si="80"/>
        <v/>
      </c>
      <c r="AP42" s="63" t="str">
        <f t="shared" si="81"/>
        <v/>
      </c>
      <c r="AQ42" s="63" t="str">
        <f t="shared" si="82"/>
        <v/>
      </c>
      <c r="AR42" s="63" t="str">
        <f t="shared" si="83"/>
        <v/>
      </c>
      <c r="AS42" s="63" t="str">
        <f t="shared" si="84"/>
        <v/>
      </c>
      <c r="AT42" s="63" t="str">
        <f t="shared" si="85"/>
        <v/>
      </c>
      <c r="AU42" s="63" t="str">
        <f t="shared" si="86"/>
        <v/>
      </c>
      <c r="AV42" s="63" t="str">
        <f t="shared" si="87"/>
        <v/>
      </c>
      <c r="AW42" s="63" t="str">
        <f t="shared" si="88"/>
        <v/>
      </c>
      <c r="AX42" s="63" t="str">
        <f t="shared" si="89"/>
        <v/>
      </c>
      <c r="AY42" s="63" t="str">
        <f t="shared" si="90"/>
        <v/>
      </c>
      <c r="AZ42" s="63" t="str">
        <f t="shared" si="91"/>
        <v/>
      </c>
      <c r="BA42" s="63" t="str">
        <f t="shared" si="92"/>
        <v/>
      </c>
      <c r="BB42" s="63" t="str">
        <f t="shared" si="93"/>
        <v/>
      </c>
      <c r="BC42" s="63" t="str">
        <f t="shared" si="94"/>
        <v/>
      </c>
      <c r="BD42" s="63" t="str">
        <f t="shared" si="95"/>
        <v/>
      </c>
      <c r="BE42" s="63" t="str">
        <f t="shared" si="96"/>
        <v/>
      </c>
      <c r="BF42" s="63" t="str">
        <f t="shared" si="97"/>
        <v/>
      </c>
      <c r="BG42" s="63" t="str">
        <f t="shared" si="98"/>
        <v/>
      </c>
      <c r="BH42" s="63" t="str">
        <f t="shared" si="99"/>
        <v/>
      </c>
      <c r="BI42" s="63" t="str">
        <f t="shared" si="100"/>
        <v/>
      </c>
      <c r="BJ42" s="63" t="str">
        <f t="shared" si="101"/>
        <v/>
      </c>
      <c r="BK42" s="63" t="str">
        <f t="shared" si="102"/>
        <v/>
      </c>
      <c r="BL42" s="63" t="str">
        <f t="shared" si="103"/>
        <v/>
      </c>
      <c r="BM42" s="63" t="str">
        <f t="shared" si="104"/>
        <v/>
      </c>
      <c r="BN42" s="63" t="str">
        <f t="shared" si="105"/>
        <v/>
      </c>
      <c r="BO42" s="63" t="str">
        <f t="shared" si="106"/>
        <v/>
      </c>
      <c r="BP42" s="63" t="str">
        <f t="shared" si="107"/>
        <v/>
      </c>
      <c r="BQ42" s="63" t="str">
        <f t="shared" si="108"/>
        <v/>
      </c>
      <c r="BR42" s="63" t="str">
        <f t="shared" si="109"/>
        <v/>
      </c>
      <c r="BS42" s="63" t="str">
        <f t="shared" si="110"/>
        <v/>
      </c>
      <c r="BT42" s="63" t="str">
        <f t="shared" si="111"/>
        <v/>
      </c>
      <c r="BU42" s="63" t="str">
        <f t="shared" si="112"/>
        <v/>
      </c>
      <c r="BV42" s="63" t="str">
        <f t="shared" si="113"/>
        <v/>
      </c>
      <c r="BW42" s="63" t="str">
        <f t="shared" si="114"/>
        <v/>
      </c>
      <c r="BX42" s="63" t="str">
        <f t="shared" si="115"/>
        <v/>
      </c>
      <c r="BY42" s="63" t="str">
        <f t="shared" si="116"/>
        <v/>
      </c>
      <c r="BZ42" s="63" t="str">
        <f t="shared" si="117"/>
        <v/>
      </c>
      <c r="CA42" s="63" t="str">
        <f t="shared" si="118"/>
        <v/>
      </c>
      <c r="CB42" s="63" t="str">
        <f t="shared" si="119"/>
        <v/>
      </c>
      <c r="CC42" s="63" t="str">
        <f t="shared" si="120"/>
        <v/>
      </c>
      <c r="CD42" s="63" t="str">
        <f t="shared" si="121"/>
        <v/>
      </c>
      <c r="CE42" s="63" t="str">
        <f>IF(COUNTIF($D42:$AE42,"A2")&gt;=1,COUNTIF($D42:$AE42,"A2"),"")</f>
        <v/>
      </c>
      <c r="CF42" s="63" t="str">
        <f t="shared" si="123"/>
        <v/>
      </c>
      <c r="CG42" s="63" t="str">
        <f t="shared" si="124"/>
        <v/>
      </c>
      <c r="CH42" s="63" t="str">
        <f t="shared" si="125"/>
        <v/>
      </c>
      <c r="CI42" s="63" t="str">
        <f t="shared" si="126"/>
        <v/>
      </c>
      <c r="CJ42" s="63" t="str">
        <f t="shared" si="127"/>
        <v/>
      </c>
      <c r="CK42" s="63" t="str">
        <f t="shared" si="128"/>
        <v/>
      </c>
      <c r="CL42" s="63" t="str">
        <f t="shared" si="129"/>
        <v/>
      </c>
      <c r="CM42" s="63">
        <f t="shared" si="130"/>
        <v>1</v>
      </c>
      <c r="CN42" s="63">
        <f t="shared" si="131"/>
        <v>1</v>
      </c>
      <c r="CO42" s="63" t="str">
        <f t="shared" si="132"/>
        <v/>
      </c>
      <c r="CP42" s="63" t="str">
        <f t="shared" si="133"/>
        <v/>
      </c>
    </row>
    <row r="43" spans="1:94" ht="15" customHeight="1" x14ac:dyDescent="0.25">
      <c r="A43" s="743"/>
      <c r="B43" s="94">
        <v>4</v>
      </c>
      <c r="C43" s="242" t="s">
        <v>349</v>
      </c>
      <c r="D43" s="370"/>
      <c r="E43" s="370"/>
      <c r="F43" s="293"/>
      <c r="G43" s="370"/>
      <c r="H43" s="370"/>
      <c r="I43" s="370"/>
      <c r="J43" s="370"/>
      <c r="K43" s="370"/>
      <c r="L43" s="370"/>
      <c r="M43" s="370"/>
      <c r="N43" s="370"/>
      <c r="O43" s="374"/>
      <c r="P43" s="370"/>
      <c r="Q43" s="370"/>
      <c r="R43" s="370" t="s">
        <v>102</v>
      </c>
      <c r="S43" s="293" t="s">
        <v>101</v>
      </c>
      <c r="T43" s="370"/>
      <c r="U43" s="293"/>
      <c r="V43" s="370"/>
      <c r="W43" s="370"/>
      <c r="X43" s="370"/>
      <c r="Y43" s="370"/>
      <c r="Z43" s="370"/>
      <c r="AA43" s="293"/>
      <c r="AB43" s="370"/>
      <c r="AC43" s="328"/>
      <c r="AD43" s="328"/>
      <c r="AE43" s="375"/>
      <c r="AF43" s="63" t="str">
        <f t="shared" si="71"/>
        <v/>
      </c>
      <c r="AG43" s="63" t="str">
        <f t="shared" si="72"/>
        <v/>
      </c>
      <c r="AH43" s="63" t="str">
        <f>IF(COUNTIF($D43:$AE43,"T4")&gt;=1,COUNTIF($D43:$AE43,"T4"),"")</f>
        <v/>
      </c>
      <c r="AI43" s="63" t="str">
        <f t="shared" si="74"/>
        <v/>
      </c>
      <c r="AJ43" s="63" t="str">
        <f t="shared" si="75"/>
        <v/>
      </c>
      <c r="AK43" s="63" t="str">
        <f t="shared" si="76"/>
        <v/>
      </c>
      <c r="AL43" s="63" t="str">
        <f t="shared" si="77"/>
        <v/>
      </c>
      <c r="AM43" s="63" t="str">
        <f t="shared" si="78"/>
        <v/>
      </c>
      <c r="AN43" s="63" t="str">
        <f t="shared" si="79"/>
        <v/>
      </c>
      <c r="AO43" s="63" t="str">
        <f t="shared" si="80"/>
        <v/>
      </c>
      <c r="AP43" s="63" t="str">
        <f t="shared" si="81"/>
        <v/>
      </c>
      <c r="AQ43" s="63" t="str">
        <f t="shared" si="82"/>
        <v/>
      </c>
      <c r="AR43" s="63" t="str">
        <f t="shared" si="83"/>
        <v/>
      </c>
      <c r="AS43" s="63" t="str">
        <f t="shared" si="84"/>
        <v/>
      </c>
      <c r="AT43" s="63" t="str">
        <f t="shared" si="85"/>
        <v/>
      </c>
      <c r="AU43" s="63" t="str">
        <f t="shared" si="86"/>
        <v/>
      </c>
      <c r="AV43" s="63" t="str">
        <f t="shared" si="87"/>
        <v/>
      </c>
      <c r="AW43" s="63" t="str">
        <f t="shared" si="88"/>
        <v/>
      </c>
      <c r="AX43" s="63" t="str">
        <f t="shared" si="89"/>
        <v/>
      </c>
      <c r="AY43" s="63" t="str">
        <f t="shared" si="90"/>
        <v/>
      </c>
      <c r="AZ43" s="63" t="str">
        <f t="shared" si="91"/>
        <v/>
      </c>
      <c r="BA43" s="63" t="str">
        <f t="shared" si="92"/>
        <v/>
      </c>
      <c r="BB43" s="63" t="str">
        <f t="shared" si="93"/>
        <v/>
      </c>
      <c r="BC43" s="63" t="str">
        <f t="shared" si="94"/>
        <v/>
      </c>
      <c r="BD43" s="63" t="str">
        <f t="shared" si="95"/>
        <v/>
      </c>
      <c r="BE43" s="63" t="str">
        <f t="shared" si="96"/>
        <v/>
      </c>
      <c r="BF43" s="63" t="str">
        <f t="shared" si="97"/>
        <v/>
      </c>
      <c r="BG43" s="63" t="str">
        <f t="shared" si="98"/>
        <v/>
      </c>
      <c r="BH43" s="63" t="str">
        <f t="shared" si="99"/>
        <v/>
      </c>
      <c r="BI43" s="63" t="str">
        <f t="shared" si="100"/>
        <v/>
      </c>
      <c r="BJ43" s="63" t="str">
        <f t="shared" si="101"/>
        <v/>
      </c>
      <c r="BK43" s="63" t="str">
        <f t="shared" si="102"/>
        <v/>
      </c>
      <c r="BL43" s="63" t="str">
        <f t="shared" si="103"/>
        <v/>
      </c>
      <c r="BM43" s="63" t="str">
        <f t="shared" si="104"/>
        <v/>
      </c>
      <c r="BN43" s="63" t="str">
        <f t="shared" si="105"/>
        <v/>
      </c>
      <c r="BO43" s="63" t="str">
        <f t="shared" si="106"/>
        <v/>
      </c>
      <c r="BP43" s="63" t="str">
        <f t="shared" si="107"/>
        <v/>
      </c>
      <c r="BQ43" s="63" t="str">
        <f t="shared" si="108"/>
        <v/>
      </c>
      <c r="BR43" s="63" t="str">
        <f t="shared" si="109"/>
        <v/>
      </c>
      <c r="BS43" s="63" t="str">
        <f t="shared" si="110"/>
        <v/>
      </c>
      <c r="BT43" s="63" t="str">
        <f t="shared" si="111"/>
        <v/>
      </c>
      <c r="BU43" s="63" t="str">
        <f t="shared" si="112"/>
        <v/>
      </c>
      <c r="BV43" s="63" t="str">
        <f t="shared" si="113"/>
        <v/>
      </c>
      <c r="BW43" s="63" t="str">
        <f t="shared" si="114"/>
        <v/>
      </c>
      <c r="BX43" s="63" t="str">
        <f t="shared" si="115"/>
        <v/>
      </c>
      <c r="BY43" s="63" t="str">
        <f t="shared" si="116"/>
        <v/>
      </c>
      <c r="BZ43" s="63" t="str">
        <f t="shared" si="117"/>
        <v/>
      </c>
      <c r="CA43" s="63" t="str">
        <f t="shared" si="118"/>
        <v/>
      </c>
      <c r="CB43" s="63" t="str">
        <f t="shared" si="119"/>
        <v/>
      </c>
      <c r="CC43" s="63" t="str">
        <f t="shared" si="120"/>
        <v/>
      </c>
      <c r="CD43" s="63" t="str">
        <f t="shared" si="121"/>
        <v/>
      </c>
      <c r="CE43" s="63" t="str">
        <f>IF(COUNTIF($D43:$AE43,"A2")&gt;=1,COUNTIF($D43:$AE43,"A2"),"")</f>
        <v/>
      </c>
      <c r="CF43" s="63" t="str">
        <f t="shared" si="123"/>
        <v/>
      </c>
      <c r="CG43" s="63" t="str">
        <f t="shared" si="124"/>
        <v/>
      </c>
      <c r="CH43" s="63" t="str">
        <f t="shared" si="125"/>
        <v/>
      </c>
      <c r="CI43" s="63" t="str">
        <f t="shared" si="126"/>
        <v/>
      </c>
      <c r="CJ43" s="63" t="str">
        <f t="shared" si="127"/>
        <v/>
      </c>
      <c r="CK43" s="63" t="str">
        <f t="shared" si="128"/>
        <v/>
      </c>
      <c r="CL43" s="63" t="str">
        <f t="shared" si="129"/>
        <v/>
      </c>
      <c r="CM43" s="63">
        <f t="shared" si="130"/>
        <v>1</v>
      </c>
      <c r="CN43" s="63">
        <f t="shared" si="131"/>
        <v>1</v>
      </c>
      <c r="CO43" s="63" t="str">
        <f t="shared" si="132"/>
        <v/>
      </c>
      <c r="CP43" s="63" t="str">
        <f t="shared" si="133"/>
        <v/>
      </c>
    </row>
    <row r="44" spans="1:94" s="98" customFormat="1" ht="15" customHeight="1" x14ac:dyDescent="0.25">
      <c r="A44" s="742">
        <v>3</v>
      </c>
      <c r="B44" s="97">
        <v>1</v>
      </c>
      <c r="C44" s="244" t="s">
        <v>346</v>
      </c>
      <c r="D44" s="417"/>
      <c r="E44" s="417"/>
      <c r="F44" s="417"/>
      <c r="G44" s="417"/>
      <c r="H44" s="417"/>
      <c r="I44" s="417"/>
      <c r="J44" s="417"/>
      <c r="K44" s="417"/>
      <c r="L44" s="417" t="s">
        <v>104</v>
      </c>
      <c r="M44" s="426" t="s">
        <v>424</v>
      </c>
      <c r="N44" s="417"/>
      <c r="O44" s="417"/>
      <c r="P44" s="417"/>
      <c r="Q44" s="417"/>
      <c r="R44" s="417"/>
      <c r="S44" s="417"/>
      <c r="T44" s="417"/>
      <c r="U44" s="417" t="s">
        <v>102</v>
      </c>
      <c r="V44" s="417" t="s">
        <v>103</v>
      </c>
      <c r="W44" s="417"/>
      <c r="X44" s="426" t="s">
        <v>100</v>
      </c>
      <c r="Y44" s="417" t="s">
        <v>101</v>
      </c>
      <c r="Z44" s="417"/>
      <c r="AA44" s="417"/>
      <c r="AB44" s="417"/>
      <c r="AC44" s="417"/>
      <c r="AD44" s="417"/>
      <c r="AE44" s="421"/>
      <c r="AF44" s="132" t="str">
        <f t="shared" si="71"/>
        <v/>
      </c>
      <c r="AG44" s="132" t="str">
        <f t="shared" si="72"/>
        <v/>
      </c>
      <c r="AH44" s="132" t="str">
        <f t="shared" si="73"/>
        <v/>
      </c>
      <c r="AI44" s="132" t="str">
        <f t="shared" si="74"/>
        <v/>
      </c>
      <c r="AJ44" s="132" t="str">
        <f t="shared" si="75"/>
        <v/>
      </c>
      <c r="AK44" s="132" t="str">
        <f t="shared" si="76"/>
        <v/>
      </c>
      <c r="AL44" s="132" t="str">
        <f t="shared" si="77"/>
        <v/>
      </c>
      <c r="AM44" s="132" t="str">
        <f t="shared" si="78"/>
        <v/>
      </c>
      <c r="AN44" s="132" t="str">
        <f t="shared" si="79"/>
        <v/>
      </c>
      <c r="AO44" s="132" t="str">
        <f t="shared" si="80"/>
        <v/>
      </c>
      <c r="AP44" s="132" t="str">
        <f t="shared" si="81"/>
        <v/>
      </c>
      <c r="AQ44" s="132" t="str">
        <f t="shared" si="82"/>
        <v/>
      </c>
      <c r="AR44" s="132" t="str">
        <f t="shared" si="83"/>
        <v/>
      </c>
      <c r="AS44" s="132" t="str">
        <f t="shared" si="84"/>
        <v/>
      </c>
      <c r="AT44" s="132" t="str">
        <f t="shared" si="85"/>
        <v/>
      </c>
      <c r="AU44" s="132" t="str">
        <f t="shared" si="86"/>
        <v/>
      </c>
      <c r="AV44" s="132" t="str">
        <f t="shared" si="87"/>
        <v/>
      </c>
      <c r="AW44" s="132" t="str">
        <f t="shared" si="88"/>
        <v/>
      </c>
      <c r="AX44" s="132" t="str">
        <f t="shared" si="89"/>
        <v/>
      </c>
      <c r="AY44" s="132" t="str">
        <f t="shared" si="90"/>
        <v/>
      </c>
      <c r="AZ44" s="132" t="str">
        <f>IF(COUNTIF($D44:$AE44,"LC8")&gt;=1,COUNTIF($D44:$AE44,"LC8"),"")</f>
        <v/>
      </c>
      <c r="BA44" s="132" t="str">
        <f t="shared" si="92"/>
        <v/>
      </c>
      <c r="BB44" s="132" t="str">
        <f t="shared" si="93"/>
        <v/>
      </c>
      <c r="BC44" s="132" t="str">
        <f t="shared" si="94"/>
        <v/>
      </c>
      <c r="BD44" s="132" t="str">
        <f t="shared" si="95"/>
        <v/>
      </c>
      <c r="BE44" s="132" t="str">
        <f t="shared" si="96"/>
        <v/>
      </c>
      <c r="BF44" s="132" t="str">
        <f t="shared" si="97"/>
        <v/>
      </c>
      <c r="BG44" s="132" t="str">
        <f t="shared" si="98"/>
        <v/>
      </c>
      <c r="BH44" s="132" t="str">
        <f t="shared" si="99"/>
        <v/>
      </c>
      <c r="BI44" s="132" t="str">
        <f t="shared" si="100"/>
        <v/>
      </c>
      <c r="BJ44" s="132" t="str">
        <f t="shared" si="101"/>
        <v/>
      </c>
      <c r="BK44" s="132" t="str">
        <f t="shared" si="102"/>
        <v/>
      </c>
      <c r="BL44" s="132" t="str">
        <f t="shared" si="103"/>
        <v/>
      </c>
      <c r="BM44" s="132" t="str">
        <f t="shared" si="104"/>
        <v/>
      </c>
      <c r="BN44" s="132" t="str">
        <f t="shared" si="105"/>
        <v/>
      </c>
      <c r="BO44" s="132" t="str">
        <f t="shared" si="106"/>
        <v/>
      </c>
      <c r="BP44" s="132" t="str">
        <f t="shared" si="107"/>
        <v/>
      </c>
      <c r="BQ44" s="132" t="str">
        <f t="shared" si="108"/>
        <v/>
      </c>
      <c r="BR44" s="132" t="str">
        <f t="shared" si="109"/>
        <v/>
      </c>
      <c r="BS44" s="132" t="str">
        <f t="shared" si="110"/>
        <v/>
      </c>
      <c r="BT44" s="132" t="str">
        <f t="shared" si="111"/>
        <v/>
      </c>
      <c r="BU44" s="132" t="str">
        <f t="shared" si="112"/>
        <v/>
      </c>
      <c r="BV44" s="132" t="str">
        <f t="shared" si="113"/>
        <v/>
      </c>
      <c r="BW44" s="132" t="str">
        <f t="shared" si="114"/>
        <v/>
      </c>
      <c r="BX44" s="132" t="str">
        <f t="shared" si="115"/>
        <v/>
      </c>
      <c r="BY44" s="132" t="str">
        <f t="shared" si="116"/>
        <v/>
      </c>
      <c r="BZ44" s="132" t="str">
        <f t="shared" si="117"/>
        <v/>
      </c>
      <c r="CA44" s="132" t="str">
        <f t="shared" si="118"/>
        <v/>
      </c>
      <c r="CB44" s="132" t="str">
        <f t="shared" si="119"/>
        <v/>
      </c>
      <c r="CC44" s="132" t="str">
        <f t="shared" si="120"/>
        <v/>
      </c>
      <c r="CD44" s="132" t="str">
        <f t="shared" si="121"/>
        <v/>
      </c>
      <c r="CE44" s="132" t="str">
        <f t="shared" si="122"/>
        <v/>
      </c>
      <c r="CF44" s="132" t="str">
        <f t="shared" si="123"/>
        <v/>
      </c>
      <c r="CG44" s="132" t="str">
        <f t="shared" si="124"/>
        <v/>
      </c>
      <c r="CH44" s="132" t="str">
        <f t="shared" si="125"/>
        <v/>
      </c>
      <c r="CI44" s="132" t="str">
        <f t="shared" si="126"/>
        <v/>
      </c>
      <c r="CJ44" s="132" t="str">
        <f t="shared" si="127"/>
        <v/>
      </c>
      <c r="CK44" s="132">
        <f t="shared" si="128"/>
        <v>1</v>
      </c>
      <c r="CL44" s="132">
        <f t="shared" si="129"/>
        <v>1</v>
      </c>
      <c r="CM44" s="132">
        <f t="shared" si="130"/>
        <v>1</v>
      </c>
      <c r="CN44" s="132">
        <f t="shared" si="131"/>
        <v>1</v>
      </c>
      <c r="CO44" s="132">
        <f t="shared" si="132"/>
        <v>1</v>
      </c>
      <c r="CP44" s="132">
        <f t="shared" si="133"/>
        <v>1</v>
      </c>
    </row>
    <row r="45" spans="1:94" s="98" customFormat="1" ht="14.65" customHeight="1" x14ac:dyDescent="0.25">
      <c r="A45" s="742"/>
      <c r="B45" s="99">
        <v>2</v>
      </c>
      <c r="C45" s="245" t="s">
        <v>347</v>
      </c>
      <c r="D45" s="417"/>
      <c r="E45" s="417"/>
      <c r="F45" s="417"/>
      <c r="G45" s="417"/>
      <c r="H45" s="417"/>
      <c r="I45" s="417"/>
      <c r="J45" s="417"/>
      <c r="K45" s="417"/>
      <c r="L45" s="426" t="s">
        <v>424</v>
      </c>
      <c r="M45" s="417" t="s">
        <v>104</v>
      </c>
      <c r="N45" s="417"/>
      <c r="O45" s="417"/>
      <c r="P45" s="417"/>
      <c r="Q45" s="417"/>
      <c r="R45" s="417"/>
      <c r="S45" s="417"/>
      <c r="T45" s="417" t="s">
        <v>102</v>
      </c>
      <c r="U45" s="417"/>
      <c r="V45" s="417"/>
      <c r="W45" s="417" t="s">
        <v>103</v>
      </c>
      <c r="X45" s="417" t="s">
        <v>101</v>
      </c>
      <c r="Y45" s="426" t="s">
        <v>100</v>
      </c>
      <c r="Z45" s="417"/>
      <c r="AA45" s="417"/>
      <c r="AB45" s="417"/>
      <c r="AC45" s="417"/>
      <c r="AD45" s="417"/>
      <c r="AE45" s="425"/>
      <c r="AF45" s="132" t="str">
        <f t="shared" si="71"/>
        <v/>
      </c>
      <c r="AG45" s="132" t="str">
        <f t="shared" si="72"/>
        <v/>
      </c>
      <c r="AH45" s="132" t="str">
        <f t="shared" si="73"/>
        <v/>
      </c>
      <c r="AI45" s="132" t="str">
        <f t="shared" si="74"/>
        <v/>
      </c>
      <c r="AJ45" s="132" t="str">
        <f t="shared" si="75"/>
        <v/>
      </c>
      <c r="AK45" s="132" t="str">
        <f t="shared" si="76"/>
        <v/>
      </c>
      <c r="AL45" s="132" t="str">
        <f t="shared" si="77"/>
        <v/>
      </c>
      <c r="AM45" s="132" t="str">
        <f t="shared" si="78"/>
        <v/>
      </c>
      <c r="AN45" s="132" t="str">
        <f t="shared" si="79"/>
        <v/>
      </c>
      <c r="AO45" s="132" t="str">
        <f t="shared" si="80"/>
        <v/>
      </c>
      <c r="AP45" s="132" t="str">
        <f t="shared" si="81"/>
        <v/>
      </c>
      <c r="AQ45" s="132" t="str">
        <f t="shared" si="82"/>
        <v/>
      </c>
      <c r="AR45" s="132" t="str">
        <f t="shared" si="83"/>
        <v/>
      </c>
      <c r="AS45" s="132" t="str">
        <f t="shared" si="84"/>
        <v/>
      </c>
      <c r="AT45" s="132" t="str">
        <f t="shared" si="85"/>
        <v/>
      </c>
      <c r="AU45" s="132" t="str">
        <f t="shared" si="86"/>
        <v/>
      </c>
      <c r="AV45" s="132" t="str">
        <f t="shared" si="87"/>
        <v/>
      </c>
      <c r="AW45" s="132" t="str">
        <f t="shared" si="88"/>
        <v/>
      </c>
      <c r="AX45" s="132" t="str">
        <f t="shared" si="89"/>
        <v/>
      </c>
      <c r="AY45" s="132" t="str">
        <f t="shared" si="90"/>
        <v/>
      </c>
      <c r="AZ45" s="132" t="str">
        <f>IF(COUNTIF($D45:$AE45,"LC8")&gt;=1,COUNTIF($D45:$AE45,"LC8"),"")</f>
        <v/>
      </c>
      <c r="BA45" s="132" t="str">
        <f t="shared" si="92"/>
        <v/>
      </c>
      <c r="BB45" s="132" t="str">
        <f t="shared" si="93"/>
        <v/>
      </c>
      <c r="BC45" s="132" t="str">
        <f t="shared" si="94"/>
        <v/>
      </c>
      <c r="BD45" s="132" t="str">
        <f t="shared" si="95"/>
        <v/>
      </c>
      <c r="BE45" s="132" t="str">
        <f t="shared" si="96"/>
        <v/>
      </c>
      <c r="BF45" s="132" t="str">
        <f t="shared" si="97"/>
        <v/>
      </c>
      <c r="BG45" s="132" t="str">
        <f t="shared" si="98"/>
        <v/>
      </c>
      <c r="BH45" s="132" t="str">
        <f t="shared" si="99"/>
        <v/>
      </c>
      <c r="BI45" s="132" t="str">
        <f t="shared" si="100"/>
        <v/>
      </c>
      <c r="BJ45" s="132" t="str">
        <f t="shared" si="101"/>
        <v/>
      </c>
      <c r="BK45" s="132" t="str">
        <f t="shared" si="102"/>
        <v/>
      </c>
      <c r="BL45" s="132" t="str">
        <f t="shared" si="103"/>
        <v/>
      </c>
      <c r="BM45" s="132" t="str">
        <f t="shared" si="104"/>
        <v/>
      </c>
      <c r="BN45" s="132" t="str">
        <f t="shared" si="105"/>
        <v/>
      </c>
      <c r="BO45" s="132" t="str">
        <f t="shared" si="106"/>
        <v/>
      </c>
      <c r="BP45" s="132" t="str">
        <f t="shared" si="107"/>
        <v/>
      </c>
      <c r="BQ45" s="132" t="str">
        <f t="shared" si="108"/>
        <v/>
      </c>
      <c r="BR45" s="132" t="str">
        <f t="shared" si="109"/>
        <v/>
      </c>
      <c r="BS45" s="132" t="str">
        <f t="shared" si="110"/>
        <v/>
      </c>
      <c r="BT45" s="132" t="str">
        <f t="shared" si="111"/>
        <v/>
      </c>
      <c r="BU45" s="132" t="str">
        <f t="shared" si="112"/>
        <v/>
      </c>
      <c r="BV45" s="132" t="str">
        <f t="shared" si="113"/>
        <v/>
      </c>
      <c r="BW45" s="132" t="str">
        <f t="shared" si="114"/>
        <v/>
      </c>
      <c r="BX45" s="132" t="str">
        <f t="shared" si="115"/>
        <v/>
      </c>
      <c r="BY45" s="132" t="str">
        <f t="shared" si="116"/>
        <v/>
      </c>
      <c r="BZ45" s="132" t="str">
        <f t="shared" si="117"/>
        <v/>
      </c>
      <c r="CA45" s="132" t="str">
        <f t="shared" si="118"/>
        <v/>
      </c>
      <c r="CB45" s="132" t="str">
        <f t="shared" si="119"/>
        <v/>
      </c>
      <c r="CC45" s="132" t="str">
        <f t="shared" si="120"/>
        <v/>
      </c>
      <c r="CD45" s="132" t="str">
        <f t="shared" si="121"/>
        <v/>
      </c>
      <c r="CE45" s="132" t="str">
        <f t="shared" si="122"/>
        <v/>
      </c>
      <c r="CF45" s="132" t="str">
        <f t="shared" si="123"/>
        <v/>
      </c>
      <c r="CG45" s="132" t="str">
        <f t="shared" si="124"/>
        <v/>
      </c>
      <c r="CH45" s="132" t="str">
        <f t="shared" si="125"/>
        <v/>
      </c>
      <c r="CI45" s="132" t="str">
        <f t="shared" si="126"/>
        <v/>
      </c>
      <c r="CJ45" s="132" t="str">
        <f t="shared" si="127"/>
        <v/>
      </c>
      <c r="CK45" s="132">
        <f t="shared" si="128"/>
        <v>1</v>
      </c>
      <c r="CL45" s="132">
        <f t="shared" si="129"/>
        <v>1</v>
      </c>
      <c r="CM45" s="132">
        <f t="shared" si="130"/>
        <v>1</v>
      </c>
      <c r="CN45" s="132">
        <f t="shared" si="131"/>
        <v>1</v>
      </c>
      <c r="CO45" s="132">
        <f>IF(COUNTIF($D45:$AE45,"TQ4")&gt;=1,COUNTIF($D45:$AE45,"TQ4"),"")</f>
        <v>1</v>
      </c>
      <c r="CP45" s="132">
        <f t="shared" si="133"/>
        <v>1</v>
      </c>
    </row>
    <row r="46" spans="1:94" s="98" customFormat="1" ht="15" customHeight="1" x14ac:dyDescent="0.25">
      <c r="A46" s="742"/>
      <c r="B46" s="99">
        <v>3</v>
      </c>
      <c r="C46" s="245" t="s">
        <v>348</v>
      </c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 t="s">
        <v>104</v>
      </c>
      <c r="O46" s="426" t="s">
        <v>424</v>
      </c>
      <c r="P46" s="417"/>
      <c r="Q46" s="417" t="s">
        <v>102</v>
      </c>
      <c r="R46" s="417"/>
      <c r="S46" s="417"/>
      <c r="T46" s="417"/>
      <c r="U46" s="417"/>
      <c r="V46" s="417"/>
      <c r="W46" s="417"/>
      <c r="X46" s="417"/>
      <c r="Y46" s="417"/>
      <c r="Z46" s="426" t="s">
        <v>100</v>
      </c>
      <c r="AA46" s="417" t="s">
        <v>101</v>
      </c>
      <c r="AB46" s="417"/>
      <c r="AC46" s="417"/>
      <c r="AD46" s="417"/>
      <c r="AE46" s="430"/>
      <c r="AF46" s="132" t="str">
        <f t="shared" si="71"/>
        <v/>
      </c>
      <c r="AG46" s="132" t="str">
        <f t="shared" si="72"/>
        <v/>
      </c>
      <c r="AH46" s="132" t="str">
        <f t="shared" si="73"/>
        <v/>
      </c>
      <c r="AI46" s="132" t="str">
        <f t="shared" si="74"/>
        <v/>
      </c>
      <c r="AJ46" s="132" t="str">
        <f t="shared" si="75"/>
        <v/>
      </c>
      <c r="AK46" s="132" t="str">
        <f t="shared" si="76"/>
        <v/>
      </c>
      <c r="AL46" s="132" t="str">
        <f t="shared" si="77"/>
        <v/>
      </c>
      <c r="AM46" s="132" t="str">
        <f t="shared" si="78"/>
        <v/>
      </c>
      <c r="AN46" s="132" t="str">
        <f t="shared" si="79"/>
        <v/>
      </c>
      <c r="AO46" s="132" t="str">
        <f t="shared" si="80"/>
        <v/>
      </c>
      <c r="AP46" s="132" t="str">
        <f t="shared" si="81"/>
        <v/>
      </c>
      <c r="AQ46" s="132" t="str">
        <f t="shared" si="82"/>
        <v/>
      </c>
      <c r="AR46" s="132" t="str">
        <f t="shared" si="83"/>
        <v/>
      </c>
      <c r="AS46" s="132" t="str">
        <f t="shared" si="84"/>
        <v/>
      </c>
      <c r="AT46" s="132" t="str">
        <f t="shared" si="85"/>
        <v/>
      </c>
      <c r="AU46" s="132" t="str">
        <f t="shared" si="86"/>
        <v/>
      </c>
      <c r="AV46" s="132" t="str">
        <f t="shared" si="87"/>
        <v/>
      </c>
      <c r="AW46" s="132" t="str">
        <f t="shared" si="88"/>
        <v/>
      </c>
      <c r="AX46" s="132" t="str">
        <f t="shared" si="89"/>
        <v/>
      </c>
      <c r="AY46" s="132" t="str">
        <f t="shared" si="90"/>
        <v/>
      </c>
      <c r="AZ46" s="132" t="str">
        <f t="shared" si="91"/>
        <v/>
      </c>
      <c r="BA46" s="132" t="str">
        <f t="shared" si="92"/>
        <v/>
      </c>
      <c r="BB46" s="132" t="str">
        <f t="shared" si="93"/>
        <v/>
      </c>
      <c r="BC46" s="132" t="str">
        <f t="shared" si="94"/>
        <v/>
      </c>
      <c r="BD46" s="132" t="str">
        <f t="shared" si="95"/>
        <v/>
      </c>
      <c r="BE46" s="132" t="str">
        <f t="shared" si="96"/>
        <v/>
      </c>
      <c r="BF46" s="132" t="str">
        <f t="shared" si="97"/>
        <v/>
      </c>
      <c r="BG46" s="132" t="str">
        <f t="shared" si="98"/>
        <v/>
      </c>
      <c r="BH46" s="132" t="str">
        <f t="shared" si="99"/>
        <v/>
      </c>
      <c r="BI46" s="132" t="str">
        <f t="shared" si="100"/>
        <v/>
      </c>
      <c r="BJ46" s="132" t="str">
        <f t="shared" si="101"/>
        <v/>
      </c>
      <c r="BK46" s="132" t="str">
        <f t="shared" si="102"/>
        <v/>
      </c>
      <c r="BL46" s="132" t="str">
        <f t="shared" si="103"/>
        <v/>
      </c>
      <c r="BM46" s="132" t="str">
        <f t="shared" si="104"/>
        <v/>
      </c>
      <c r="BN46" s="132" t="str">
        <f t="shared" si="105"/>
        <v/>
      </c>
      <c r="BO46" s="132" t="str">
        <f t="shared" si="106"/>
        <v/>
      </c>
      <c r="BP46" s="132" t="str">
        <f t="shared" si="107"/>
        <v/>
      </c>
      <c r="BQ46" s="132" t="str">
        <f t="shared" si="108"/>
        <v/>
      </c>
      <c r="BR46" s="132" t="str">
        <f t="shared" si="109"/>
        <v/>
      </c>
      <c r="BS46" s="132" t="str">
        <f t="shared" si="110"/>
        <v/>
      </c>
      <c r="BT46" s="132" t="str">
        <f t="shared" si="111"/>
        <v/>
      </c>
      <c r="BU46" s="132" t="str">
        <f t="shared" si="112"/>
        <v/>
      </c>
      <c r="BV46" s="132" t="str">
        <f t="shared" si="113"/>
        <v/>
      </c>
      <c r="BW46" s="132" t="str">
        <f t="shared" si="114"/>
        <v/>
      </c>
      <c r="BX46" s="132" t="str">
        <f t="shared" si="115"/>
        <v/>
      </c>
      <c r="BY46" s="132" t="str">
        <f t="shared" si="116"/>
        <v/>
      </c>
      <c r="BZ46" s="132" t="str">
        <f t="shared" si="117"/>
        <v/>
      </c>
      <c r="CA46" s="132" t="str">
        <f t="shared" si="118"/>
        <v/>
      </c>
      <c r="CB46" s="132" t="str">
        <f t="shared" si="119"/>
        <v/>
      </c>
      <c r="CC46" s="132" t="str">
        <f t="shared" si="120"/>
        <v/>
      </c>
      <c r="CD46" s="132" t="str">
        <f t="shared" si="121"/>
        <v/>
      </c>
      <c r="CE46" s="132" t="str">
        <f t="shared" si="122"/>
        <v/>
      </c>
      <c r="CF46" s="132" t="str">
        <f t="shared" si="123"/>
        <v/>
      </c>
      <c r="CG46" s="132" t="str">
        <f t="shared" si="124"/>
        <v/>
      </c>
      <c r="CH46" s="132" t="str">
        <f t="shared" si="125"/>
        <v/>
      </c>
      <c r="CI46" s="132" t="str">
        <f t="shared" si="126"/>
        <v/>
      </c>
      <c r="CJ46" s="132" t="str">
        <f t="shared" si="127"/>
        <v/>
      </c>
      <c r="CK46" s="132">
        <f t="shared" si="128"/>
        <v>1</v>
      </c>
      <c r="CL46" s="132">
        <f t="shared" si="129"/>
        <v>1</v>
      </c>
      <c r="CM46" s="132">
        <f t="shared" si="130"/>
        <v>1</v>
      </c>
      <c r="CN46" s="132">
        <f t="shared" si="131"/>
        <v>1</v>
      </c>
      <c r="CO46" s="132" t="str">
        <f>IF(COUNTIF($D46:$AE46,"TQ4")&gt;=1,COUNTIF($D46:$AE46,"TQ4"),"")</f>
        <v/>
      </c>
      <c r="CP46" s="132">
        <f t="shared" si="133"/>
        <v>1</v>
      </c>
    </row>
    <row r="47" spans="1:94" s="98" customFormat="1" ht="15" customHeight="1" x14ac:dyDescent="0.25">
      <c r="A47" s="742"/>
      <c r="B47" s="99">
        <v>4</v>
      </c>
      <c r="C47" s="245" t="s">
        <v>349</v>
      </c>
      <c r="D47" s="417"/>
      <c r="E47" s="417"/>
      <c r="F47" s="417"/>
      <c r="G47" s="417"/>
      <c r="H47" s="417"/>
      <c r="I47" s="417"/>
      <c r="J47" s="417"/>
      <c r="K47" s="417"/>
      <c r="L47" s="417"/>
      <c r="M47" s="417"/>
      <c r="N47" s="426" t="s">
        <v>424</v>
      </c>
      <c r="O47" s="417" t="s">
        <v>104</v>
      </c>
      <c r="P47" s="417" t="s">
        <v>102</v>
      </c>
      <c r="Q47" s="417"/>
      <c r="R47" s="417"/>
      <c r="S47" s="417"/>
      <c r="T47" s="417"/>
      <c r="U47" s="417"/>
      <c r="V47" s="417"/>
      <c r="W47" s="417"/>
      <c r="X47" s="417"/>
      <c r="Y47" s="417"/>
      <c r="Z47" s="417" t="s">
        <v>101</v>
      </c>
      <c r="AA47" s="426" t="s">
        <v>100</v>
      </c>
      <c r="AB47" s="417"/>
      <c r="AC47" s="417"/>
      <c r="AD47" s="417"/>
      <c r="AE47" s="431"/>
      <c r="AF47" s="132" t="str">
        <f t="shared" si="71"/>
        <v/>
      </c>
      <c r="AG47" s="132" t="str">
        <f t="shared" si="72"/>
        <v/>
      </c>
      <c r="AH47" s="132" t="str">
        <f t="shared" si="73"/>
        <v/>
      </c>
      <c r="AI47" s="132" t="str">
        <f t="shared" si="74"/>
        <v/>
      </c>
      <c r="AJ47" s="132" t="str">
        <f t="shared" si="75"/>
        <v/>
      </c>
      <c r="AK47" s="132" t="str">
        <f t="shared" si="76"/>
        <v/>
      </c>
      <c r="AL47" s="132" t="str">
        <f t="shared" si="77"/>
        <v/>
      </c>
      <c r="AM47" s="132" t="str">
        <f t="shared" si="78"/>
        <v/>
      </c>
      <c r="AN47" s="132" t="str">
        <f t="shared" si="79"/>
        <v/>
      </c>
      <c r="AO47" s="132" t="str">
        <f t="shared" si="80"/>
        <v/>
      </c>
      <c r="AP47" s="132" t="str">
        <f t="shared" si="81"/>
        <v/>
      </c>
      <c r="AQ47" s="132" t="str">
        <f t="shared" si="82"/>
        <v/>
      </c>
      <c r="AR47" s="132" t="str">
        <f t="shared" si="83"/>
        <v/>
      </c>
      <c r="AS47" s="132" t="str">
        <f t="shared" si="84"/>
        <v/>
      </c>
      <c r="AT47" s="132" t="str">
        <f t="shared" si="85"/>
        <v/>
      </c>
      <c r="AU47" s="132" t="str">
        <f t="shared" si="86"/>
        <v/>
      </c>
      <c r="AV47" s="132" t="str">
        <f t="shared" si="87"/>
        <v/>
      </c>
      <c r="AW47" s="132" t="str">
        <f t="shared" si="88"/>
        <v/>
      </c>
      <c r="AX47" s="132" t="str">
        <f t="shared" si="89"/>
        <v/>
      </c>
      <c r="AY47" s="132" t="str">
        <f t="shared" si="90"/>
        <v/>
      </c>
      <c r="AZ47" s="132" t="str">
        <f t="shared" si="91"/>
        <v/>
      </c>
      <c r="BA47" s="132" t="str">
        <f t="shared" si="92"/>
        <v/>
      </c>
      <c r="BB47" s="132" t="str">
        <f t="shared" si="93"/>
        <v/>
      </c>
      <c r="BC47" s="132" t="str">
        <f t="shared" si="94"/>
        <v/>
      </c>
      <c r="BD47" s="132" t="str">
        <f t="shared" si="95"/>
        <v/>
      </c>
      <c r="BE47" s="132" t="str">
        <f t="shared" si="96"/>
        <v/>
      </c>
      <c r="BF47" s="132" t="str">
        <f t="shared" si="97"/>
        <v/>
      </c>
      <c r="BG47" s="132" t="str">
        <f t="shared" si="98"/>
        <v/>
      </c>
      <c r="BH47" s="132" t="str">
        <f t="shared" si="99"/>
        <v/>
      </c>
      <c r="BI47" s="132" t="str">
        <f t="shared" si="100"/>
        <v/>
      </c>
      <c r="BJ47" s="132" t="str">
        <f t="shared" si="101"/>
        <v/>
      </c>
      <c r="BK47" s="132" t="str">
        <f t="shared" si="102"/>
        <v/>
      </c>
      <c r="BL47" s="132" t="str">
        <f t="shared" si="103"/>
        <v/>
      </c>
      <c r="BM47" s="132" t="str">
        <f t="shared" si="104"/>
        <v/>
      </c>
      <c r="BN47" s="132" t="str">
        <f t="shared" si="105"/>
        <v/>
      </c>
      <c r="BO47" s="132" t="str">
        <f t="shared" si="106"/>
        <v/>
      </c>
      <c r="BP47" s="132" t="str">
        <f t="shared" si="107"/>
        <v/>
      </c>
      <c r="BQ47" s="132" t="str">
        <f t="shared" si="108"/>
        <v/>
      </c>
      <c r="BR47" s="132" t="str">
        <f t="shared" si="109"/>
        <v/>
      </c>
      <c r="BS47" s="132" t="str">
        <f t="shared" si="110"/>
        <v/>
      </c>
      <c r="BT47" s="132" t="str">
        <f t="shared" si="111"/>
        <v/>
      </c>
      <c r="BU47" s="132" t="str">
        <f t="shared" si="112"/>
        <v/>
      </c>
      <c r="BV47" s="132" t="str">
        <f t="shared" si="113"/>
        <v/>
      </c>
      <c r="BW47" s="132" t="str">
        <f t="shared" si="114"/>
        <v/>
      </c>
      <c r="BX47" s="132" t="str">
        <f t="shared" si="115"/>
        <v/>
      </c>
      <c r="BY47" s="132" t="str">
        <f t="shared" si="116"/>
        <v/>
      </c>
      <c r="BZ47" s="132" t="str">
        <f t="shared" si="117"/>
        <v/>
      </c>
      <c r="CA47" s="132" t="str">
        <f t="shared" si="118"/>
        <v/>
      </c>
      <c r="CB47" s="132" t="str">
        <f t="shared" si="119"/>
        <v/>
      </c>
      <c r="CC47" s="132" t="str">
        <f t="shared" si="120"/>
        <v/>
      </c>
      <c r="CD47" s="132" t="str">
        <f t="shared" si="121"/>
        <v/>
      </c>
      <c r="CE47" s="132" t="str">
        <f t="shared" si="122"/>
        <v/>
      </c>
      <c r="CF47" s="132" t="str">
        <f t="shared" si="123"/>
        <v/>
      </c>
      <c r="CG47" s="132" t="str">
        <f t="shared" si="124"/>
        <v/>
      </c>
      <c r="CH47" s="132" t="str">
        <f t="shared" si="125"/>
        <v/>
      </c>
      <c r="CI47" s="132" t="str">
        <f t="shared" si="126"/>
        <v/>
      </c>
      <c r="CJ47" s="132" t="str">
        <f t="shared" si="127"/>
        <v/>
      </c>
      <c r="CK47" s="132">
        <f t="shared" si="128"/>
        <v>1</v>
      </c>
      <c r="CL47" s="132">
        <f t="shared" si="129"/>
        <v>1</v>
      </c>
      <c r="CM47" s="132">
        <f t="shared" si="130"/>
        <v>1</v>
      </c>
      <c r="CN47" s="132">
        <f t="shared" si="131"/>
        <v>1</v>
      </c>
      <c r="CO47" s="132" t="str">
        <f t="shared" si="132"/>
        <v/>
      </c>
      <c r="CP47" s="132">
        <f t="shared" si="133"/>
        <v>1</v>
      </c>
    </row>
    <row r="48" spans="1:94" ht="15" customHeight="1" x14ac:dyDescent="0.25">
      <c r="A48" s="743">
        <v>4</v>
      </c>
      <c r="B48" s="92">
        <v>1</v>
      </c>
      <c r="C48" s="240" t="s">
        <v>346</v>
      </c>
      <c r="D48" s="371" t="s">
        <v>103</v>
      </c>
      <c r="E48" s="369"/>
      <c r="F48" s="371"/>
      <c r="G48" s="371"/>
      <c r="H48" s="368" t="s">
        <v>104</v>
      </c>
      <c r="I48" s="290" t="s">
        <v>424</v>
      </c>
      <c r="J48" s="290"/>
      <c r="K48" s="290"/>
      <c r="L48" s="368"/>
      <c r="M48" s="368"/>
      <c r="N48" s="368"/>
      <c r="O48" s="368"/>
      <c r="P48" s="368"/>
      <c r="Q48" s="368"/>
      <c r="R48" s="368"/>
      <c r="S48" s="371"/>
      <c r="T48" s="368"/>
      <c r="U48" s="371"/>
      <c r="V48" s="334"/>
      <c r="W48" s="334"/>
      <c r="X48" s="334"/>
      <c r="Y48" s="326"/>
      <c r="Z48" s="376"/>
      <c r="AA48" s="333"/>
      <c r="AB48" s="329" t="s">
        <v>100</v>
      </c>
      <c r="AC48" s="334" t="s">
        <v>101</v>
      </c>
      <c r="AD48" s="334"/>
      <c r="AE48" s="377"/>
      <c r="AF48" s="63" t="str">
        <f t="shared" si="71"/>
        <v/>
      </c>
      <c r="AG48" s="63" t="str">
        <f t="shared" si="72"/>
        <v/>
      </c>
      <c r="AH48" s="63" t="str">
        <f t="shared" si="73"/>
        <v/>
      </c>
      <c r="AI48" s="63" t="str">
        <f t="shared" si="74"/>
        <v/>
      </c>
      <c r="AJ48" s="63" t="str">
        <f t="shared" si="75"/>
        <v/>
      </c>
      <c r="AK48" s="63" t="str">
        <f t="shared" si="76"/>
        <v/>
      </c>
      <c r="AL48" s="63" t="str">
        <f t="shared" si="77"/>
        <v/>
      </c>
      <c r="AM48" s="63" t="str">
        <f t="shared" si="78"/>
        <v/>
      </c>
      <c r="AN48" s="63" t="str">
        <f t="shared" si="79"/>
        <v/>
      </c>
      <c r="AO48" s="63" t="str">
        <f t="shared" si="80"/>
        <v/>
      </c>
      <c r="AP48" s="63" t="str">
        <f t="shared" si="81"/>
        <v/>
      </c>
      <c r="AQ48" s="63" t="str">
        <f t="shared" si="82"/>
        <v/>
      </c>
      <c r="AR48" s="63" t="str">
        <f t="shared" si="83"/>
        <v/>
      </c>
      <c r="AS48" s="63" t="str">
        <f t="shared" si="84"/>
        <v/>
      </c>
      <c r="AT48" s="63" t="str">
        <f t="shared" si="85"/>
        <v/>
      </c>
      <c r="AU48" s="63" t="str">
        <f t="shared" si="86"/>
        <v/>
      </c>
      <c r="AV48" s="63" t="str">
        <f t="shared" si="87"/>
        <v/>
      </c>
      <c r="AW48" s="63" t="str">
        <f t="shared" si="88"/>
        <v/>
      </c>
      <c r="AX48" s="63" t="str">
        <f t="shared" si="89"/>
        <v/>
      </c>
      <c r="AY48" s="63" t="str">
        <f>IF(COUNTIF($D48:$AE48,"LC7")&gt;=1,COUNTIF($D48:$AE48,"LC7"),"")</f>
        <v/>
      </c>
      <c r="AZ48" s="63" t="str">
        <f t="shared" si="91"/>
        <v/>
      </c>
      <c r="BA48" s="63" t="str">
        <f t="shared" si="92"/>
        <v/>
      </c>
      <c r="BB48" s="63" t="str">
        <f t="shared" si="93"/>
        <v/>
      </c>
      <c r="BC48" s="63" t="str">
        <f t="shared" si="94"/>
        <v/>
      </c>
      <c r="BD48" s="63" t="str">
        <f t="shared" si="95"/>
        <v/>
      </c>
      <c r="BE48" s="63" t="str">
        <f t="shared" si="96"/>
        <v/>
      </c>
      <c r="BF48" s="63" t="str">
        <f t="shared" si="97"/>
        <v/>
      </c>
      <c r="BG48" s="63" t="str">
        <f t="shared" si="98"/>
        <v/>
      </c>
      <c r="BH48" s="63" t="str">
        <f t="shared" si="99"/>
        <v/>
      </c>
      <c r="BI48" s="63" t="str">
        <f t="shared" si="100"/>
        <v/>
      </c>
      <c r="BJ48" s="63" t="str">
        <f t="shared" si="101"/>
        <v/>
      </c>
      <c r="BK48" s="63" t="str">
        <f t="shared" si="102"/>
        <v/>
      </c>
      <c r="BL48" s="63" t="str">
        <f t="shared" si="103"/>
        <v/>
      </c>
      <c r="BM48" s="63" t="str">
        <f t="shared" si="104"/>
        <v/>
      </c>
      <c r="BN48" s="63" t="str">
        <f t="shared" si="105"/>
        <v/>
      </c>
      <c r="BO48" s="63" t="str">
        <f t="shared" si="106"/>
        <v/>
      </c>
      <c r="BP48" s="63" t="str">
        <f t="shared" si="107"/>
        <v/>
      </c>
      <c r="BQ48" s="63" t="str">
        <f t="shared" si="108"/>
        <v/>
      </c>
      <c r="BR48" s="63" t="str">
        <f t="shared" si="109"/>
        <v/>
      </c>
      <c r="BS48" s="63" t="str">
        <f t="shared" si="110"/>
        <v/>
      </c>
      <c r="BT48" s="63" t="str">
        <f t="shared" si="111"/>
        <v/>
      </c>
      <c r="BU48" s="63" t="str">
        <f t="shared" si="112"/>
        <v/>
      </c>
      <c r="BV48" s="63" t="str">
        <f t="shared" si="113"/>
        <v/>
      </c>
      <c r="BW48" s="63" t="str">
        <f t="shared" si="114"/>
        <v/>
      </c>
      <c r="BX48" s="63" t="str">
        <f t="shared" si="115"/>
        <v/>
      </c>
      <c r="BY48" s="63" t="str">
        <f t="shared" si="116"/>
        <v/>
      </c>
      <c r="BZ48" s="63" t="s">
        <v>468</v>
      </c>
      <c r="CA48" s="63" t="str">
        <f t="shared" si="118"/>
        <v/>
      </c>
      <c r="CB48" s="63" t="str">
        <f t="shared" si="119"/>
        <v/>
      </c>
      <c r="CC48" s="63" t="str">
        <f t="shared" si="120"/>
        <v/>
      </c>
      <c r="CD48" s="63" t="str">
        <f t="shared" si="121"/>
        <v/>
      </c>
      <c r="CE48" s="63" t="str">
        <f t="shared" si="122"/>
        <v/>
      </c>
      <c r="CF48" s="63" t="str">
        <f t="shared" si="123"/>
        <v/>
      </c>
      <c r="CG48" s="63" t="str">
        <f>IF(COUNTIF($D48:$AE48,"A4")&gt;=1,COUNTIF($D48:$AE48,"A4"),"")</f>
        <v/>
      </c>
      <c r="CH48" s="63" t="str">
        <f>IF(COUNTIF($D48:$AE48,"A5")&gt;=1,COUNTIF($D48:$AE48,"A5"),"")</f>
        <v/>
      </c>
      <c r="CI48" s="63" t="str">
        <f t="shared" si="126"/>
        <v/>
      </c>
      <c r="CJ48" s="63" t="str">
        <f t="shared" si="127"/>
        <v/>
      </c>
      <c r="CK48" s="63">
        <f t="shared" si="128"/>
        <v>1</v>
      </c>
      <c r="CL48" s="63">
        <f t="shared" si="129"/>
        <v>1</v>
      </c>
      <c r="CM48" s="63">
        <f t="shared" si="130"/>
        <v>1</v>
      </c>
      <c r="CN48" s="63" t="str">
        <f t="shared" si="131"/>
        <v/>
      </c>
      <c r="CO48" s="63">
        <f t="shared" si="132"/>
        <v>1</v>
      </c>
      <c r="CP48" s="63">
        <f t="shared" si="133"/>
        <v>1</v>
      </c>
    </row>
    <row r="49" spans="1:94" ht="15" customHeight="1" x14ac:dyDescent="0.25">
      <c r="A49" s="743"/>
      <c r="B49" s="93">
        <v>2</v>
      </c>
      <c r="C49" s="241" t="s">
        <v>347</v>
      </c>
      <c r="D49" s="369"/>
      <c r="E49" s="369" t="s">
        <v>103</v>
      </c>
      <c r="F49" s="369"/>
      <c r="G49" s="369"/>
      <c r="H49" s="294" t="s">
        <v>424</v>
      </c>
      <c r="I49" s="299" t="s">
        <v>104</v>
      </c>
      <c r="J49" s="369"/>
      <c r="K49" s="369"/>
      <c r="L49" s="369"/>
      <c r="M49" s="369"/>
      <c r="N49" s="369"/>
      <c r="O49" s="299"/>
      <c r="P49" s="294"/>
      <c r="Q49" s="369"/>
      <c r="R49" s="369"/>
      <c r="S49" s="299"/>
      <c r="T49" s="369"/>
      <c r="U49" s="369"/>
      <c r="V49" s="326"/>
      <c r="W49" s="326"/>
      <c r="X49" s="326"/>
      <c r="Y49" s="326"/>
      <c r="Z49" s="335"/>
      <c r="AA49" s="326"/>
      <c r="AB49" s="335" t="s">
        <v>101</v>
      </c>
      <c r="AC49" s="327" t="s">
        <v>100</v>
      </c>
      <c r="AD49" s="326"/>
      <c r="AE49" s="373"/>
      <c r="AF49" s="63" t="str">
        <f t="shared" si="71"/>
        <v/>
      </c>
      <c r="AG49" s="63" t="str">
        <f t="shared" si="72"/>
        <v/>
      </c>
      <c r="AH49" s="63" t="str">
        <f t="shared" si="73"/>
        <v/>
      </c>
      <c r="AI49" s="63" t="str">
        <f t="shared" si="74"/>
        <v/>
      </c>
      <c r="AJ49" s="63" t="str">
        <f t="shared" si="75"/>
        <v/>
      </c>
      <c r="AK49" s="63" t="str">
        <f t="shared" si="76"/>
        <v/>
      </c>
      <c r="AL49" s="63" t="str">
        <f t="shared" si="77"/>
        <v/>
      </c>
      <c r="AM49" s="63" t="str">
        <f t="shared" si="78"/>
        <v/>
      </c>
      <c r="AN49" s="63" t="str">
        <f t="shared" si="79"/>
        <v/>
      </c>
      <c r="AO49" s="63" t="str">
        <f t="shared" si="80"/>
        <v/>
      </c>
      <c r="AP49" s="63" t="str">
        <f t="shared" si="81"/>
        <v/>
      </c>
      <c r="AQ49" s="63" t="str">
        <f t="shared" si="82"/>
        <v/>
      </c>
      <c r="AR49" s="63" t="str">
        <f t="shared" si="83"/>
        <v/>
      </c>
      <c r="AS49" s="63" t="str">
        <f t="shared" si="84"/>
        <v/>
      </c>
      <c r="AT49" s="63" t="str">
        <f t="shared" si="85"/>
        <v/>
      </c>
      <c r="AU49" s="63" t="str">
        <f t="shared" si="86"/>
        <v/>
      </c>
      <c r="AV49" s="63" t="str">
        <f t="shared" si="87"/>
        <v/>
      </c>
      <c r="AW49" s="63" t="str">
        <f t="shared" si="88"/>
        <v/>
      </c>
      <c r="AX49" s="63" t="str">
        <f t="shared" si="89"/>
        <v/>
      </c>
      <c r="AY49" s="63" t="str">
        <f>IF(COUNTIF($D49:$AE49,"LC7")&gt;=1,COUNTIF($D49:$AE49,"LC7"),"")</f>
        <v/>
      </c>
      <c r="AZ49" s="63" t="str">
        <f t="shared" si="91"/>
        <v/>
      </c>
      <c r="BA49" s="63" t="str">
        <f t="shared" si="92"/>
        <v/>
      </c>
      <c r="BB49" s="63" t="str">
        <f t="shared" si="93"/>
        <v/>
      </c>
      <c r="BC49" s="63" t="str">
        <f t="shared" si="94"/>
        <v/>
      </c>
      <c r="BD49" s="63" t="str">
        <f t="shared" si="95"/>
        <v/>
      </c>
      <c r="BE49" s="63" t="str">
        <f t="shared" si="96"/>
        <v/>
      </c>
      <c r="BF49" s="63" t="str">
        <f t="shared" si="97"/>
        <v/>
      </c>
      <c r="BG49" s="63" t="str">
        <f t="shared" si="98"/>
        <v/>
      </c>
      <c r="BH49" s="63" t="str">
        <f t="shared" si="99"/>
        <v/>
      </c>
      <c r="BI49" s="63" t="str">
        <f t="shared" si="100"/>
        <v/>
      </c>
      <c r="BJ49" s="63" t="str">
        <f t="shared" si="101"/>
        <v/>
      </c>
      <c r="BK49" s="63" t="str">
        <f t="shared" si="102"/>
        <v/>
      </c>
      <c r="BL49" s="63" t="str">
        <f t="shared" si="103"/>
        <v/>
      </c>
      <c r="BM49" s="63" t="str">
        <f t="shared" si="104"/>
        <v/>
      </c>
      <c r="BN49" s="63" t="str">
        <f t="shared" si="105"/>
        <v/>
      </c>
      <c r="BO49" s="63" t="str">
        <f t="shared" si="106"/>
        <v/>
      </c>
      <c r="BP49" s="63" t="str">
        <f t="shared" si="107"/>
        <v/>
      </c>
      <c r="BQ49" s="63" t="str">
        <f t="shared" si="108"/>
        <v/>
      </c>
      <c r="BR49" s="63" t="str">
        <f t="shared" si="109"/>
        <v/>
      </c>
      <c r="BS49" s="63" t="str">
        <f t="shared" si="110"/>
        <v/>
      </c>
      <c r="BT49" s="63" t="str">
        <f t="shared" si="111"/>
        <v/>
      </c>
      <c r="BU49" s="63" t="str">
        <f t="shared" si="112"/>
        <v/>
      </c>
      <c r="BV49" s="63" t="str">
        <f t="shared" si="113"/>
        <v/>
      </c>
      <c r="BW49" s="63" t="str">
        <f t="shared" si="114"/>
        <v/>
      </c>
      <c r="BX49" s="63" t="str">
        <f t="shared" si="115"/>
        <v/>
      </c>
      <c r="BY49" s="63" t="str">
        <f t="shared" si="116"/>
        <v/>
      </c>
      <c r="BZ49" s="63" t="str">
        <f t="shared" si="117"/>
        <v/>
      </c>
      <c r="CA49" s="63" t="str">
        <f t="shared" si="118"/>
        <v/>
      </c>
      <c r="CB49" s="63" t="str">
        <f t="shared" si="119"/>
        <v/>
      </c>
      <c r="CC49" s="63" t="str">
        <f t="shared" si="120"/>
        <v/>
      </c>
      <c r="CD49" s="63" t="str">
        <f t="shared" si="121"/>
        <v/>
      </c>
      <c r="CE49" s="63" t="str">
        <f t="shared" si="122"/>
        <v/>
      </c>
      <c r="CF49" s="63" t="str">
        <f t="shared" si="123"/>
        <v/>
      </c>
      <c r="CG49" s="63" t="str">
        <f t="shared" si="124"/>
        <v/>
      </c>
      <c r="CH49" s="63" t="str">
        <f>IF(COUNTIF($D49:$AE49,"A5")&gt;=1,COUNTIF($D49:$AE49,"A5"),"")</f>
        <v/>
      </c>
      <c r="CI49" s="63" t="str">
        <f t="shared" si="126"/>
        <v/>
      </c>
      <c r="CJ49" s="63" t="str">
        <f t="shared" si="127"/>
        <v/>
      </c>
      <c r="CK49" s="63">
        <f t="shared" si="128"/>
        <v>1</v>
      </c>
      <c r="CL49" s="63">
        <f t="shared" si="129"/>
        <v>1</v>
      </c>
      <c r="CM49" s="63">
        <f t="shared" si="130"/>
        <v>1</v>
      </c>
      <c r="CN49" s="63" t="str">
        <f t="shared" si="131"/>
        <v/>
      </c>
      <c r="CO49" s="63">
        <f t="shared" si="132"/>
        <v>1</v>
      </c>
      <c r="CP49" s="63">
        <f t="shared" si="133"/>
        <v>1</v>
      </c>
    </row>
    <row r="50" spans="1:94" ht="15" customHeight="1" x14ac:dyDescent="0.25">
      <c r="A50" s="743"/>
      <c r="B50" s="93">
        <v>3</v>
      </c>
      <c r="C50" s="241" t="s">
        <v>348</v>
      </c>
      <c r="D50" s="299"/>
      <c r="E50" s="299"/>
      <c r="F50" s="369" t="s">
        <v>103</v>
      </c>
      <c r="G50" s="299"/>
      <c r="H50" s="369"/>
      <c r="I50" s="371"/>
      <c r="J50" s="299" t="s">
        <v>104</v>
      </c>
      <c r="K50" s="294" t="s">
        <v>424</v>
      </c>
      <c r="L50" s="369"/>
      <c r="M50" s="369"/>
      <c r="N50" s="299"/>
      <c r="O50" s="369"/>
      <c r="P50" s="369"/>
      <c r="Q50" s="294"/>
      <c r="R50" s="369"/>
      <c r="S50" s="369"/>
      <c r="T50" s="369"/>
      <c r="U50" s="369"/>
      <c r="V50" s="326"/>
      <c r="W50" s="326"/>
      <c r="X50" s="326"/>
      <c r="Y50" s="326"/>
      <c r="Z50" s="326"/>
      <c r="AA50" s="326"/>
      <c r="AB50" s="326"/>
      <c r="AC50" s="335"/>
      <c r="AD50" s="330" t="s">
        <v>100</v>
      </c>
      <c r="AE50" s="378" t="s">
        <v>101</v>
      </c>
      <c r="AF50" s="63" t="str">
        <f t="shared" si="71"/>
        <v/>
      </c>
      <c r="AG50" s="63" t="str">
        <f t="shared" si="72"/>
        <v/>
      </c>
      <c r="AH50" s="63" t="str">
        <f t="shared" si="73"/>
        <v/>
      </c>
      <c r="AI50" s="63" t="str">
        <f t="shared" si="74"/>
        <v/>
      </c>
      <c r="AJ50" s="63" t="str">
        <f t="shared" si="75"/>
        <v/>
      </c>
      <c r="AK50" s="63" t="str">
        <f t="shared" si="76"/>
        <v/>
      </c>
      <c r="AL50" s="63" t="str">
        <f t="shared" si="77"/>
        <v/>
      </c>
      <c r="AM50" s="63" t="str">
        <f t="shared" si="78"/>
        <v/>
      </c>
      <c r="AN50" s="63" t="str">
        <f t="shared" si="79"/>
        <v/>
      </c>
      <c r="AO50" s="63" t="str">
        <f t="shared" si="80"/>
        <v/>
      </c>
      <c r="AP50" s="63" t="str">
        <f t="shared" si="81"/>
        <v/>
      </c>
      <c r="AQ50" s="63" t="str">
        <f t="shared" si="82"/>
        <v/>
      </c>
      <c r="AR50" s="63" t="str">
        <f t="shared" si="83"/>
        <v/>
      </c>
      <c r="AS50" s="63" t="str">
        <f t="shared" si="84"/>
        <v/>
      </c>
      <c r="AT50" s="63" t="str">
        <f t="shared" si="85"/>
        <v/>
      </c>
      <c r="AU50" s="63" t="str">
        <f t="shared" si="86"/>
        <v/>
      </c>
      <c r="AV50" s="63" t="str">
        <f t="shared" si="87"/>
        <v/>
      </c>
      <c r="AW50" s="63" t="str">
        <f t="shared" si="88"/>
        <v/>
      </c>
      <c r="AX50" s="63" t="str">
        <f t="shared" si="89"/>
        <v/>
      </c>
      <c r="AY50" s="63" t="str">
        <f t="shared" si="90"/>
        <v/>
      </c>
      <c r="AZ50" s="63" t="str">
        <f t="shared" si="91"/>
        <v/>
      </c>
      <c r="BA50" s="63" t="str">
        <f t="shared" si="92"/>
        <v/>
      </c>
      <c r="BB50" s="63" t="str">
        <f t="shared" si="93"/>
        <v/>
      </c>
      <c r="BC50" s="63" t="str">
        <f t="shared" si="94"/>
        <v/>
      </c>
      <c r="BD50" s="63" t="str">
        <f t="shared" si="95"/>
        <v/>
      </c>
      <c r="BE50" s="63" t="str">
        <f t="shared" si="96"/>
        <v/>
      </c>
      <c r="BF50" s="63" t="str">
        <f t="shared" si="97"/>
        <v/>
      </c>
      <c r="BG50" s="63" t="str">
        <f t="shared" si="98"/>
        <v/>
      </c>
      <c r="BH50" s="63" t="str">
        <f t="shared" si="99"/>
        <v/>
      </c>
      <c r="BI50" s="63" t="str">
        <f t="shared" si="100"/>
        <v/>
      </c>
      <c r="BJ50" s="63" t="str">
        <f t="shared" si="101"/>
        <v/>
      </c>
      <c r="BK50" s="63" t="str">
        <f t="shared" si="102"/>
        <v/>
      </c>
      <c r="BL50" s="63" t="str">
        <f t="shared" si="103"/>
        <v/>
      </c>
      <c r="BM50" s="63" t="str">
        <f t="shared" si="104"/>
        <v/>
      </c>
      <c r="BN50" s="63" t="str">
        <f t="shared" si="105"/>
        <v/>
      </c>
      <c r="BO50" s="63" t="str">
        <f t="shared" si="106"/>
        <v/>
      </c>
      <c r="BP50" s="63" t="str">
        <f t="shared" si="107"/>
        <v/>
      </c>
      <c r="BQ50" s="63" t="str">
        <f t="shared" si="108"/>
        <v/>
      </c>
      <c r="BR50" s="63" t="str">
        <f t="shared" si="109"/>
        <v/>
      </c>
      <c r="BS50" s="63" t="str">
        <f t="shared" si="110"/>
        <v/>
      </c>
      <c r="BT50" s="63" t="str">
        <f t="shared" si="111"/>
        <v/>
      </c>
      <c r="BU50" s="63" t="str">
        <f t="shared" si="112"/>
        <v/>
      </c>
      <c r="BV50" s="63" t="str">
        <f t="shared" si="113"/>
        <v/>
      </c>
      <c r="BW50" s="63" t="str">
        <f t="shared" si="114"/>
        <v/>
      </c>
      <c r="BX50" s="63" t="str">
        <f t="shared" si="115"/>
        <v/>
      </c>
      <c r="BY50" s="63" t="str">
        <f t="shared" si="116"/>
        <v/>
      </c>
      <c r="BZ50" s="63" t="str">
        <f t="shared" si="117"/>
        <v/>
      </c>
      <c r="CA50" s="63" t="str">
        <f t="shared" si="118"/>
        <v/>
      </c>
      <c r="CB50" s="63" t="str">
        <f t="shared" si="119"/>
        <v/>
      </c>
      <c r="CC50" s="63" t="str">
        <f t="shared" si="120"/>
        <v/>
      </c>
      <c r="CD50" s="63" t="str">
        <f t="shared" si="121"/>
        <v/>
      </c>
      <c r="CE50" s="63" t="str">
        <f t="shared" si="122"/>
        <v/>
      </c>
      <c r="CF50" s="63" t="str">
        <f t="shared" si="123"/>
        <v/>
      </c>
      <c r="CG50" s="63" t="str">
        <f t="shared" si="124"/>
        <v/>
      </c>
      <c r="CH50" s="63" t="str">
        <f t="shared" si="125"/>
        <v/>
      </c>
      <c r="CI50" s="63" t="str">
        <f t="shared" si="126"/>
        <v/>
      </c>
      <c r="CJ50" s="63" t="str">
        <f t="shared" si="127"/>
        <v/>
      </c>
      <c r="CK50" s="63">
        <f t="shared" si="128"/>
        <v>1</v>
      </c>
      <c r="CL50" s="63">
        <f t="shared" si="129"/>
        <v>1</v>
      </c>
      <c r="CM50" s="63">
        <f t="shared" si="130"/>
        <v>1</v>
      </c>
      <c r="CN50" s="63" t="str">
        <f t="shared" si="131"/>
        <v/>
      </c>
      <c r="CO50" s="63">
        <f t="shared" si="132"/>
        <v>1</v>
      </c>
      <c r="CP50" s="63">
        <f t="shared" si="133"/>
        <v>1</v>
      </c>
    </row>
    <row r="51" spans="1:94" ht="15" customHeight="1" x14ac:dyDescent="0.25">
      <c r="A51" s="743"/>
      <c r="B51" s="93">
        <v>4</v>
      </c>
      <c r="C51" s="241" t="s">
        <v>349</v>
      </c>
      <c r="D51" s="370"/>
      <c r="E51" s="370"/>
      <c r="F51" s="370"/>
      <c r="G51" s="370" t="s">
        <v>103</v>
      </c>
      <c r="H51" s="370"/>
      <c r="I51" s="370"/>
      <c r="J51" s="381" t="s">
        <v>424</v>
      </c>
      <c r="K51" s="370" t="s">
        <v>104</v>
      </c>
      <c r="L51" s="370"/>
      <c r="M51" s="370"/>
      <c r="N51" s="370"/>
      <c r="O51" s="370"/>
      <c r="P51" s="370"/>
      <c r="Q51" s="370"/>
      <c r="R51" s="370"/>
      <c r="S51" s="370"/>
      <c r="T51" s="370"/>
      <c r="U51" s="370"/>
      <c r="V51" s="328"/>
      <c r="W51" s="328"/>
      <c r="X51" s="328"/>
      <c r="Y51" s="328"/>
      <c r="Z51" s="379"/>
      <c r="AA51" s="328"/>
      <c r="AB51" s="328"/>
      <c r="AC51" s="379"/>
      <c r="AD51" s="379" t="s">
        <v>101</v>
      </c>
      <c r="AE51" s="380" t="s">
        <v>100</v>
      </c>
      <c r="AF51" s="63" t="str">
        <f t="shared" si="71"/>
        <v/>
      </c>
      <c r="AG51" s="63" t="str">
        <f t="shared" si="72"/>
        <v/>
      </c>
      <c r="AH51" s="63" t="str">
        <f t="shared" si="73"/>
        <v/>
      </c>
      <c r="AI51" s="63" t="str">
        <f t="shared" si="74"/>
        <v/>
      </c>
      <c r="AJ51" s="63" t="str">
        <f t="shared" si="75"/>
        <v/>
      </c>
      <c r="AK51" s="63" t="str">
        <f t="shared" si="76"/>
        <v/>
      </c>
      <c r="AL51" s="63" t="str">
        <f t="shared" si="77"/>
        <v/>
      </c>
      <c r="AM51" s="63" t="str">
        <f t="shared" si="78"/>
        <v/>
      </c>
      <c r="AN51" s="63" t="str">
        <f t="shared" si="79"/>
        <v/>
      </c>
      <c r="AO51" s="63" t="str">
        <f t="shared" si="80"/>
        <v/>
      </c>
      <c r="AP51" s="63" t="str">
        <f t="shared" si="81"/>
        <v/>
      </c>
      <c r="AQ51" s="63" t="str">
        <f t="shared" si="82"/>
        <v/>
      </c>
      <c r="AR51" s="63" t="str">
        <f t="shared" si="83"/>
        <v/>
      </c>
      <c r="AS51" s="63" t="str">
        <f t="shared" si="84"/>
        <v/>
      </c>
      <c r="AT51" s="63" t="str">
        <f t="shared" si="85"/>
        <v/>
      </c>
      <c r="AU51" s="63" t="str">
        <f t="shared" si="86"/>
        <v/>
      </c>
      <c r="AV51" s="63" t="str">
        <f t="shared" si="87"/>
        <v/>
      </c>
      <c r="AW51" s="63" t="str">
        <f t="shared" si="88"/>
        <v/>
      </c>
      <c r="AX51" s="63" t="str">
        <f t="shared" si="89"/>
        <v/>
      </c>
      <c r="AY51" s="63" t="str">
        <f t="shared" si="90"/>
        <v/>
      </c>
      <c r="AZ51" s="63" t="str">
        <f t="shared" si="91"/>
        <v/>
      </c>
      <c r="BA51" s="63" t="str">
        <f t="shared" si="92"/>
        <v/>
      </c>
      <c r="BB51" s="63" t="str">
        <f t="shared" si="93"/>
        <v/>
      </c>
      <c r="BC51" s="63" t="str">
        <f t="shared" si="94"/>
        <v/>
      </c>
      <c r="BD51" s="63" t="str">
        <f t="shared" si="95"/>
        <v/>
      </c>
      <c r="BE51" s="63" t="str">
        <f t="shared" si="96"/>
        <v/>
      </c>
      <c r="BF51" s="63" t="str">
        <f t="shared" si="97"/>
        <v/>
      </c>
      <c r="BG51" s="63" t="str">
        <f t="shared" si="98"/>
        <v/>
      </c>
      <c r="BH51" s="63" t="str">
        <f t="shared" si="99"/>
        <v/>
      </c>
      <c r="BI51" s="63" t="str">
        <f t="shared" si="100"/>
        <v/>
      </c>
      <c r="BJ51" s="63" t="str">
        <f t="shared" si="101"/>
        <v/>
      </c>
      <c r="BK51" s="63" t="str">
        <f t="shared" si="102"/>
        <v/>
      </c>
      <c r="BL51" s="63" t="str">
        <f t="shared" si="103"/>
        <v/>
      </c>
      <c r="BM51" s="63" t="str">
        <f t="shared" si="104"/>
        <v/>
      </c>
      <c r="BN51" s="63" t="str">
        <f t="shared" si="105"/>
        <v/>
      </c>
      <c r="BO51" s="63" t="str">
        <f t="shared" si="106"/>
        <v/>
      </c>
      <c r="BP51" s="63" t="str">
        <f t="shared" si="107"/>
        <v/>
      </c>
      <c r="BQ51" s="63" t="str">
        <f t="shared" si="108"/>
        <v/>
      </c>
      <c r="BR51" s="63" t="str">
        <f t="shared" si="109"/>
        <v/>
      </c>
      <c r="BS51" s="63" t="str">
        <f t="shared" si="110"/>
        <v/>
      </c>
      <c r="BT51" s="63" t="str">
        <f t="shared" si="111"/>
        <v/>
      </c>
      <c r="BU51" s="63" t="str">
        <f t="shared" si="112"/>
        <v/>
      </c>
      <c r="BV51" s="63" t="str">
        <f t="shared" si="113"/>
        <v/>
      </c>
      <c r="BW51" s="63" t="str">
        <f t="shared" si="114"/>
        <v/>
      </c>
      <c r="BX51" s="63" t="str">
        <f t="shared" si="115"/>
        <v/>
      </c>
      <c r="BY51" s="63" t="str">
        <f t="shared" si="116"/>
        <v/>
      </c>
      <c r="BZ51" s="63" t="str">
        <f t="shared" si="117"/>
        <v/>
      </c>
      <c r="CA51" s="63" t="str">
        <f t="shared" si="118"/>
        <v/>
      </c>
      <c r="CB51" s="63" t="str">
        <f t="shared" si="119"/>
        <v/>
      </c>
      <c r="CC51" s="63" t="str">
        <f t="shared" si="120"/>
        <v/>
      </c>
      <c r="CD51" s="63" t="str">
        <f t="shared" si="121"/>
        <v/>
      </c>
      <c r="CE51" s="63" t="str">
        <f t="shared" si="122"/>
        <v/>
      </c>
      <c r="CF51" s="63" t="str">
        <f t="shared" si="123"/>
        <v/>
      </c>
      <c r="CG51" s="63" t="str">
        <f t="shared" si="124"/>
        <v/>
      </c>
      <c r="CH51" s="63" t="str">
        <f t="shared" si="125"/>
        <v/>
      </c>
      <c r="CI51" s="63" t="str">
        <f t="shared" si="126"/>
        <v/>
      </c>
      <c r="CJ51" s="63" t="str">
        <f t="shared" si="127"/>
        <v/>
      </c>
      <c r="CK51" s="63">
        <f t="shared" si="128"/>
        <v>1</v>
      </c>
      <c r="CL51" s="63">
        <f t="shared" si="129"/>
        <v>1</v>
      </c>
      <c r="CM51" s="63">
        <f t="shared" si="130"/>
        <v>1</v>
      </c>
      <c r="CN51" s="63" t="str">
        <f t="shared" si="131"/>
        <v/>
      </c>
      <c r="CO51" s="63">
        <f t="shared" si="132"/>
        <v>1</v>
      </c>
      <c r="CP51" s="63">
        <f t="shared" si="133"/>
        <v>1</v>
      </c>
    </row>
    <row r="52" spans="1:94" s="98" customFormat="1" ht="15" customHeight="1" x14ac:dyDescent="0.25">
      <c r="A52" s="742">
        <v>5</v>
      </c>
      <c r="B52" s="97">
        <v>1</v>
      </c>
      <c r="C52" s="244" t="s">
        <v>346</v>
      </c>
      <c r="D52" s="415"/>
      <c r="E52" s="415"/>
      <c r="F52" s="416"/>
      <c r="G52" s="416"/>
      <c r="H52" s="415"/>
      <c r="I52" s="415"/>
      <c r="J52" s="415"/>
      <c r="K52" s="415"/>
      <c r="L52" s="415" t="s">
        <v>104</v>
      </c>
      <c r="M52" s="415"/>
      <c r="N52" s="416"/>
      <c r="O52" s="415"/>
      <c r="P52" s="417"/>
      <c r="Q52" s="415"/>
      <c r="R52" s="418"/>
      <c r="S52" s="415" t="s">
        <v>102</v>
      </c>
      <c r="T52" s="416"/>
      <c r="U52" s="416"/>
      <c r="V52" s="416" t="s">
        <v>103</v>
      </c>
      <c r="W52" s="419" t="s">
        <v>424</v>
      </c>
      <c r="X52" s="420"/>
      <c r="Y52" s="420" t="s">
        <v>101</v>
      </c>
      <c r="Z52" s="420"/>
      <c r="AA52" s="420"/>
      <c r="AB52" s="420"/>
      <c r="AC52" s="420"/>
      <c r="AD52" s="420"/>
      <c r="AE52" s="421"/>
      <c r="AF52" s="132" t="str">
        <f t="shared" si="71"/>
        <v/>
      </c>
      <c r="AG52" s="132" t="str">
        <f t="shared" si="72"/>
        <v/>
      </c>
      <c r="AH52" s="132" t="str">
        <f t="shared" si="73"/>
        <v/>
      </c>
      <c r="AI52" s="132" t="str">
        <f t="shared" si="74"/>
        <v/>
      </c>
      <c r="AJ52" s="132" t="str">
        <f t="shared" si="75"/>
        <v/>
      </c>
      <c r="AK52" s="132" t="str">
        <f t="shared" si="76"/>
        <v/>
      </c>
      <c r="AL52" s="132" t="str">
        <f t="shared" si="77"/>
        <v/>
      </c>
      <c r="AM52" s="132" t="str">
        <f t="shared" si="78"/>
        <v/>
      </c>
      <c r="AN52" s="132" t="str">
        <f t="shared" si="79"/>
        <v/>
      </c>
      <c r="AO52" s="132" t="str">
        <f t="shared" si="80"/>
        <v/>
      </c>
      <c r="AP52" s="132" t="str">
        <f t="shared" si="81"/>
        <v/>
      </c>
      <c r="AQ52" s="132" t="str">
        <f t="shared" si="82"/>
        <v/>
      </c>
      <c r="AR52" s="132" t="str">
        <f t="shared" si="83"/>
        <v/>
      </c>
      <c r="AS52" s="132" t="str">
        <f t="shared" si="84"/>
        <v/>
      </c>
      <c r="AT52" s="132" t="str">
        <f t="shared" si="85"/>
        <v/>
      </c>
      <c r="AU52" s="132" t="str">
        <f t="shared" si="86"/>
        <v/>
      </c>
      <c r="AV52" s="132" t="str">
        <f t="shared" si="87"/>
        <v/>
      </c>
      <c r="AW52" s="132" t="str">
        <f t="shared" si="88"/>
        <v/>
      </c>
      <c r="AX52" s="132" t="str">
        <f t="shared" si="89"/>
        <v/>
      </c>
      <c r="AY52" s="132" t="str">
        <f t="shared" si="90"/>
        <v/>
      </c>
      <c r="AZ52" s="132" t="str">
        <f t="shared" si="91"/>
        <v/>
      </c>
      <c r="BA52" s="132" t="str">
        <f t="shared" si="92"/>
        <v/>
      </c>
      <c r="BB52" s="132" t="str">
        <f t="shared" si="93"/>
        <v/>
      </c>
      <c r="BC52" s="132" t="str">
        <f t="shared" si="94"/>
        <v/>
      </c>
      <c r="BD52" s="132" t="str">
        <f t="shared" si="95"/>
        <v/>
      </c>
      <c r="BE52" s="132" t="str">
        <f t="shared" si="96"/>
        <v/>
      </c>
      <c r="BF52" s="132" t="str">
        <f t="shared" si="97"/>
        <v/>
      </c>
      <c r="BG52" s="132" t="str">
        <f t="shared" si="98"/>
        <v/>
      </c>
      <c r="BH52" s="132" t="str">
        <f t="shared" si="99"/>
        <v/>
      </c>
      <c r="BI52" s="132" t="str">
        <f t="shared" si="100"/>
        <v/>
      </c>
      <c r="BJ52" s="132" t="str">
        <f t="shared" si="101"/>
        <v/>
      </c>
      <c r="BK52" s="132" t="str">
        <f t="shared" si="102"/>
        <v/>
      </c>
      <c r="BL52" s="132" t="str">
        <f t="shared" si="103"/>
        <v/>
      </c>
      <c r="BM52" s="132" t="str">
        <f t="shared" si="104"/>
        <v/>
      </c>
      <c r="BN52" s="132" t="str">
        <f t="shared" si="105"/>
        <v/>
      </c>
      <c r="BO52" s="132" t="str">
        <f t="shared" si="106"/>
        <v/>
      </c>
      <c r="BP52" s="132" t="str">
        <f t="shared" si="107"/>
        <v/>
      </c>
      <c r="BQ52" s="132" t="str">
        <f t="shared" si="108"/>
        <v/>
      </c>
      <c r="BR52" s="132" t="str">
        <f t="shared" si="109"/>
        <v/>
      </c>
      <c r="BS52" s="132" t="str">
        <f t="shared" si="110"/>
        <v/>
      </c>
      <c r="BT52" s="132" t="str">
        <f t="shared" si="111"/>
        <v/>
      </c>
      <c r="BU52" s="132" t="str">
        <f t="shared" si="112"/>
        <v/>
      </c>
      <c r="BV52" s="132" t="str">
        <f t="shared" si="113"/>
        <v/>
      </c>
      <c r="BW52" s="132" t="str">
        <f t="shared" si="114"/>
        <v/>
      </c>
      <c r="BX52" s="132" t="str">
        <f t="shared" si="115"/>
        <v/>
      </c>
      <c r="BY52" s="132" t="str">
        <f t="shared" si="116"/>
        <v/>
      </c>
      <c r="BZ52" s="132" t="str">
        <f t="shared" si="117"/>
        <v/>
      </c>
      <c r="CA52" s="132" t="str">
        <f t="shared" si="118"/>
        <v/>
      </c>
      <c r="CB52" s="132" t="str">
        <f t="shared" si="119"/>
        <v/>
      </c>
      <c r="CC52" s="132" t="str">
        <f t="shared" si="120"/>
        <v/>
      </c>
      <c r="CD52" s="132" t="str">
        <f t="shared" si="121"/>
        <v/>
      </c>
      <c r="CE52" s="132" t="str">
        <f t="shared" si="122"/>
        <v/>
      </c>
      <c r="CF52" s="132" t="str">
        <f t="shared" si="123"/>
        <v/>
      </c>
      <c r="CG52" s="132" t="str">
        <f t="shared" si="124"/>
        <v/>
      </c>
      <c r="CH52" s="132" t="str">
        <f>IF(COUNTIF($D52:$AE52,"A5")&gt;=1,COUNTIF($D52:$AE52,"A5"),"")</f>
        <v/>
      </c>
      <c r="CI52" s="132" t="str">
        <f t="shared" si="126"/>
        <v/>
      </c>
      <c r="CJ52" s="132" t="str">
        <f t="shared" si="127"/>
        <v/>
      </c>
      <c r="CK52" s="132" t="str">
        <f t="shared" si="128"/>
        <v/>
      </c>
      <c r="CL52" s="132">
        <f t="shared" si="129"/>
        <v>1</v>
      </c>
      <c r="CM52" s="132">
        <f t="shared" si="130"/>
        <v>1</v>
      </c>
      <c r="CN52" s="132">
        <f t="shared" si="131"/>
        <v>1</v>
      </c>
      <c r="CO52" s="132">
        <f t="shared" si="132"/>
        <v>1</v>
      </c>
      <c r="CP52" s="132">
        <f t="shared" si="133"/>
        <v>1</v>
      </c>
    </row>
    <row r="53" spans="1:94" s="98" customFormat="1" ht="15" customHeight="1" x14ac:dyDescent="0.25">
      <c r="A53" s="742"/>
      <c r="B53" s="99">
        <v>2</v>
      </c>
      <c r="C53" s="245" t="s">
        <v>347</v>
      </c>
      <c r="D53" s="422"/>
      <c r="E53" s="417"/>
      <c r="F53" s="423"/>
      <c r="G53" s="423"/>
      <c r="H53" s="417"/>
      <c r="I53" s="417"/>
      <c r="J53" s="417"/>
      <c r="K53" s="417"/>
      <c r="L53" s="417"/>
      <c r="M53" s="423" t="s">
        <v>104</v>
      </c>
      <c r="N53" s="417"/>
      <c r="O53" s="417"/>
      <c r="P53" s="417"/>
      <c r="Q53" s="417"/>
      <c r="R53" s="417" t="s">
        <v>102</v>
      </c>
      <c r="S53" s="422"/>
      <c r="T53" s="417"/>
      <c r="U53" s="423"/>
      <c r="V53" s="424" t="s">
        <v>424</v>
      </c>
      <c r="W53" s="417" t="s">
        <v>103</v>
      </c>
      <c r="X53" s="423" t="s">
        <v>101</v>
      </c>
      <c r="Y53" s="423"/>
      <c r="Z53" s="423"/>
      <c r="AA53" s="423"/>
      <c r="AB53" s="423"/>
      <c r="AC53" s="423"/>
      <c r="AD53" s="423"/>
      <c r="AE53" s="425"/>
      <c r="AF53" s="132" t="str">
        <f t="shared" si="71"/>
        <v/>
      </c>
      <c r="AG53" s="132" t="str">
        <f t="shared" si="72"/>
        <v/>
      </c>
      <c r="AH53" s="132" t="str">
        <f t="shared" si="73"/>
        <v/>
      </c>
      <c r="AI53" s="132" t="str">
        <f t="shared" si="74"/>
        <v/>
      </c>
      <c r="AJ53" s="132" t="str">
        <f t="shared" si="75"/>
        <v/>
      </c>
      <c r="AK53" s="132" t="str">
        <f t="shared" si="76"/>
        <v/>
      </c>
      <c r="AL53" s="132" t="str">
        <f t="shared" si="77"/>
        <v/>
      </c>
      <c r="AM53" s="132" t="str">
        <f t="shared" si="78"/>
        <v/>
      </c>
      <c r="AN53" s="132" t="str">
        <f t="shared" si="79"/>
        <v/>
      </c>
      <c r="AO53" s="132" t="str">
        <f t="shared" si="80"/>
        <v/>
      </c>
      <c r="AP53" s="132" t="str">
        <f t="shared" si="81"/>
        <v/>
      </c>
      <c r="AQ53" s="132" t="str">
        <f t="shared" si="82"/>
        <v/>
      </c>
      <c r="AR53" s="132" t="str">
        <f t="shared" si="83"/>
        <v/>
      </c>
      <c r="AS53" s="132" t="str">
        <f t="shared" si="84"/>
        <v/>
      </c>
      <c r="AT53" s="132" t="str">
        <f t="shared" si="85"/>
        <v/>
      </c>
      <c r="AU53" s="132" t="str">
        <f t="shared" si="86"/>
        <v/>
      </c>
      <c r="AV53" s="132" t="str">
        <f t="shared" si="87"/>
        <v/>
      </c>
      <c r="AW53" s="132" t="str">
        <f t="shared" si="88"/>
        <v/>
      </c>
      <c r="AX53" s="132" t="str">
        <f t="shared" si="89"/>
        <v/>
      </c>
      <c r="AY53" s="132" t="str">
        <f>IF(COUNTIF($D53:$AE53,"LC7")&gt;=1,COUNTIF($D53:$AE53,"LC7"),"")</f>
        <v/>
      </c>
      <c r="AZ53" s="132" t="str">
        <f t="shared" si="91"/>
        <v/>
      </c>
      <c r="BA53" s="132" t="str">
        <f t="shared" si="92"/>
        <v/>
      </c>
      <c r="BB53" s="132" t="str">
        <f t="shared" si="93"/>
        <v/>
      </c>
      <c r="BC53" s="132" t="str">
        <f t="shared" si="94"/>
        <v/>
      </c>
      <c r="BD53" s="132" t="str">
        <f t="shared" si="95"/>
        <v/>
      </c>
      <c r="BE53" s="132" t="str">
        <f t="shared" si="96"/>
        <v/>
      </c>
      <c r="BF53" s="132" t="str">
        <f t="shared" si="97"/>
        <v/>
      </c>
      <c r="BG53" s="132" t="str">
        <f t="shared" si="98"/>
        <v/>
      </c>
      <c r="BH53" s="132" t="str">
        <f t="shared" si="99"/>
        <v/>
      </c>
      <c r="BI53" s="132" t="str">
        <f t="shared" si="100"/>
        <v/>
      </c>
      <c r="BJ53" s="132" t="str">
        <f t="shared" si="101"/>
        <v/>
      </c>
      <c r="BK53" s="132" t="str">
        <f t="shared" si="102"/>
        <v/>
      </c>
      <c r="BL53" s="132" t="str">
        <f t="shared" si="103"/>
        <v/>
      </c>
      <c r="BM53" s="132" t="str">
        <f t="shared" si="104"/>
        <v/>
      </c>
      <c r="BN53" s="132" t="str">
        <f t="shared" si="105"/>
        <v/>
      </c>
      <c r="BO53" s="132" t="str">
        <f t="shared" si="106"/>
        <v/>
      </c>
      <c r="BP53" s="132" t="str">
        <f t="shared" si="107"/>
        <v/>
      </c>
      <c r="BQ53" s="132" t="str">
        <f t="shared" si="108"/>
        <v/>
      </c>
      <c r="BR53" s="132" t="str">
        <f t="shared" si="109"/>
        <v/>
      </c>
      <c r="BS53" s="132" t="str">
        <f t="shared" si="110"/>
        <v/>
      </c>
      <c r="BT53" s="132" t="str">
        <f t="shared" si="111"/>
        <v/>
      </c>
      <c r="BU53" s="132" t="str">
        <f t="shared" si="112"/>
        <v/>
      </c>
      <c r="BV53" s="132" t="str">
        <f t="shared" si="113"/>
        <v/>
      </c>
      <c r="BW53" s="132" t="str">
        <f t="shared" si="114"/>
        <v/>
      </c>
      <c r="BX53" s="132" t="str">
        <f t="shared" si="115"/>
        <v/>
      </c>
      <c r="BY53" s="132" t="str">
        <f t="shared" si="116"/>
        <v/>
      </c>
      <c r="BZ53" s="132" t="str">
        <f t="shared" si="117"/>
        <v/>
      </c>
      <c r="CA53" s="132" t="str">
        <f t="shared" si="118"/>
        <v/>
      </c>
      <c r="CB53" s="132" t="str">
        <f t="shared" si="119"/>
        <v/>
      </c>
      <c r="CC53" s="132" t="str">
        <f t="shared" si="120"/>
        <v/>
      </c>
      <c r="CD53" s="132" t="str">
        <f t="shared" si="121"/>
        <v/>
      </c>
      <c r="CE53" s="132" t="str">
        <f t="shared" si="122"/>
        <v/>
      </c>
      <c r="CF53" s="132" t="str">
        <f t="shared" si="123"/>
        <v/>
      </c>
      <c r="CG53" s="132" t="str">
        <f t="shared" si="124"/>
        <v/>
      </c>
      <c r="CH53" s="132" t="str">
        <f>IF(COUNTIF($D53:$AE53,"A5")&gt;=1,COUNTIF($D53:$AE53,"A5"),"")</f>
        <v/>
      </c>
      <c r="CI53" s="132" t="str">
        <f t="shared" si="126"/>
        <v/>
      </c>
      <c r="CJ53" s="132" t="str">
        <f t="shared" si="127"/>
        <v/>
      </c>
      <c r="CK53" s="132" t="str">
        <f t="shared" si="128"/>
        <v/>
      </c>
      <c r="CL53" s="132">
        <f t="shared" si="129"/>
        <v>1</v>
      </c>
      <c r="CM53" s="132">
        <f t="shared" si="130"/>
        <v>1</v>
      </c>
      <c r="CN53" s="132">
        <f t="shared" si="131"/>
        <v>1</v>
      </c>
      <c r="CO53" s="132">
        <f t="shared" si="132"/>
        <v>1</v>
      </c>
      <c r="CP53" s="132">
        <f t="shared" si="133"/>
        <v>1</v>
      </c>
    </row>
    <row r="54" spans="1:94" s="98" customFormat="1" ht="15" customHeight="1" x14ac:dyDescent="0.25">
      <c r="A54" s="742"/>
      <c r="B54" s="99">
        <v>3</v>
      </c>
      <c r="C54" s="245" t="s">
        <v>348</v>
      </c>
      <c r="D54" s="422"/>
      <c r="E54" s="417"/>
      <c r="F54" s="423"/>
      <c r="G54" s="417"/>
      <c r="H54" s="417"/>
      <c r="I54" s="417"/>
      <c r="J54" s="417"/>
      <c r="K54" s="417"/>
      <c r="L54" s="417"/>
      <c r="M54" s="417"/>
      <c r="N54" s="417" t="s">
        <v>104</v>
      </c>
      <c r="O54" s="417"/>
      <c r="P54" s="417" t="s">
        <v>102</v>
      </c>
      <c r="Q54" s="426" t="s">
        <v>424</v>
      </c>
      <c r="R54" s="417"/>
      <c r="S54" s="417"/>
      <c r="T54" s="416"/>
      <c r="U54" s="423"/>
      <c r="V54" s="423"/>
      <c r="W54" s="423"/>
      <c r="X54" s="423"/>
      <c r="Y54" s="423"/>
      <c r="Z54" s="423"/>
      <c r="AA54" s="423" t="s">
        <v>101</v>
      </c>
      <c r="AB54" s="423"/>
      <c r="AC54" s="423"/>
      <c r="AD54" s="423"/>
      <c r="AE54" s="425"/>
      <c r="AF54" s="132" t="str">
        <f t="shared" si="71"/>
        <v/>
      </c>
      <c r="AG54" s="132" t="str">
        <f t="shared" si="72"/>
        <v/>
      </c>
      <c r="AH54" s="132" t="str">
        <f t="shared" si="73"/>
        <v/>
      </c>
      <c r="AI54" s="132" t="str">
        <f t="shared" si="74"/>
        <v/>
      </c>
      <c r="AJ54" s="132" t="str">
        <f t="shared" si="75"/>
        <v/>
      </c>
      <c r="AK54" s="132" t="str">
        <f t="shared" si="76"/>
        <v/>
      </c>
      <c r="AL54" s="132" t="str">
        <f t="shared" si="77"/>
        <v/>
      </c>
      <c r="AM54" s="132" t="str">
        <f t="shared" si="78"/>
        <v/>
      </c>
      <c r="AN54" s="132" t="str">
        <f t="shared" si="79"/>
        <v/>
      </c>
      <c r="AO54" s="132" t="str">
        <f t="shared" si="80"/>
        <v/>
      </c>
      <c r="AP54" s="132" t="str">
        <f t="shared" si="81"/>
        <v/>
      </c>
      <c r="AQ54" s="132" t="str">
        <f t="shared" si="82"/>
        <v/>
      </c>
      <c r="AR54" s="132" t="str">
        <f t="shared" si="83"/>
        <v/>
      </c>
      <c r="AS54" s="132" t="str">
        <f t="shared" si="84"/>
        <v/>
      </c>
      <c r="AT54" s="132" t="str">
        <f t="shared" si="85"/>
        <v/>
      </c>
      <c r="AU54" s="132" t="str">
        <f t="shared" si="86"/>
        <v/>
      </c>
      <c r="AV54" s="132" t="str">
        <f t="shared" si="87"/>
        <v/>
      </c>
      <c r="AW54" s="132" t="str">
        <f t="shared" si="88"/>
        <v/>
      </c>
      <c r="AX54" s="132" t="str">
        <f>IF(COUNTIF($D54:$AE54,"LC6")&gt;=1,COUNTIF($D54:$AE54,"LC6"),"")</f>
        <v/>
      </c>
      <c r="AY54" s="132" t="str">
        <f>IF(COUNTIF($D54:$AE54,"LC7")&gt;=1,COUNTIF($D54:$AE54,"LC7"),"")</f>
        <v/>
      </c>
      <c r="AZ54" s="132" t="str">
        <f t="shared" si="91"/>
        <v/>
      </c>
      <c r="BA54" s="132" t="str">
        <f t="shared" si="92"/>
        <v/>
      </c>
      <c r="BB54" s="132" t="str">
        <f t="shared" si="93"/>
        <v/>
      </c>
      <c r="BC54" s="132" t="str">
        <f t="shared" si="94"/>
        <v/>
      </c>
      <c r="BD54" s="132" t="str">
        <f t="shared" si="95"/>
        <v/>
      </c>
      <c r="BE54" s="132" t="str">
        <f t="shared" si="96"/>
        <v/>
      </c>
      <c r="BF54" s="132" t="str">
        <f t="shared" si="97"/>
        <v/>
      </c>
      <c r="BG54" s="132" t="str">
        <f t="shared" si="98"/>
        <v/>
      </c>
      <c r="BH54" s="132" t="str">
        <f t="shared" si="99"/>
        <v/>
      </c>
      <c r="BI54" s="132" t="str">
        <f t="shared" si="100"/>
        <v/>
      </c>
      <c r="BJ54" s="132" t="str">
        <f t="shared" si="101"/>
        <v/>
      </c>
      <c r="BK54" s="132" t="str">
        <f t="shared" si="102"/>
        <v/>
      </c>
      <c r="BL54" s="132" t="str">
        <f t="shared" si="103"/>
        <v/>
      </c>
      <c r="BM54" s="132" t="str">
        <f t="shared" si="104"/>
        <v/>
      </c>
      <c r="BN54" s="132" t="str">
        <f t="shared" si="105"/>
        <v/>
      </c>
      <c r="BO54" s="132" t="str">
        <f t="shared" si="106"/>
        <v/>
      </c>
      <c r="BP54" s="132" t="str">
        <f t="shared" si="107"/>
        <v/>
      </c>
      <c r="BQ54" s="132" t="str">
        <f t="shared" si="108"/>
        <v/>
      </c>
      <c r="BR54" s="132" t="str">
        <f t="shared" si="109"/>
        <v/>
      </c>
      <c r="BS54" s="132" t="str">
        <f t="shared" si="110"/>
        <v/>
      </c>
      <c r="BT54" s="132" t="str">
        <f t="shared" si="111"/>
        <v/>
      </c>
      <c r="BU54" s="132" t="str">
        <f t="shared" si="112"/>
        <v/>
      </c>
      <c r="BV54" s="132" t="str">
        <f t="shared" si="113"/>
        <v/>
      </c>
      <c r="BW54" s="132" t="str">
        <f t="shared" si="114"/>
        <v/>
      </c>
      <c r="BX54" s="132" t="str">
        <f t="shared" si="115"/>
        <v/>
      </c>
      <c r="BY54" s="132" t="str">
        <f t="shared" si="116"/>
        <v/>
      </c>
      <c r="BZ54" s="132" t="str">
        <f t="shared" si="117"/>
        <v/>
      </c>
      <c r="CA54" s="132" t="str">
        <f t="shared" si="118"/>
        <v/>
      </c>
      <c r="CB54" s="132" t="str">
        <f t="shared" si="119"/>
        <v/>
      </c>
      <c r="CC54" s="132" t="str">
        <f t="shared" si="120"/>
        <v/>
      </c>
      <c r="CD54" s="132" t="str">
        <f t="shared" si="121"/>
        <v/>
      </c>
      <c r="CE54" s="132" t="str">
        <f t="shared" si="122"/>
        <v/>
      </c>
      <c r="CF54" s="132" t="str">
        <f t="shared" si="123"/>
        <v/>
      </c>
      <c r="CG54" s="132" t="str">
        <f t="shared" si="124"/>
        <v/>
      </c>
      <c r="CH54" s="132" t="str">
        <f>IF(COUNTIF($D54:$AE54,"A5")&gt;=1,COUNTIF($D54:$AE54,"A5"),"")</f>
        <v/>
      </c>
      <c r="CI54" s="132" t="str">
        <f t="shared" si="126"/>
        <v/>
      </c>
      <c r="CJ54" s="132" t="str">
        <f t="shared" si="127"/>
        <v/>
      </c>
      <c r="CK54" s="132" t="str">
        <f t="shared" si="128"/>
        <v/>
      </c>
      <c r="CL54" s="132">
        <f t="shared" si="129"/>
        <v>1</v>
      </c>
      <c r="CM54" s="132">
        <f t="shared" si="130"/>
        <v>1</v>
      </c>
      <c r="CN54" s="132">
        <f t="shared" si="131"/>
        <v>1</v>
      </c>
      <c r="CO54" s="132" t="str">
        <f t="shared" si="132"/>
        <v/>
      </c>
      <c r="CP54" s="132">
        <f t="shared" si="133"/>
        <v>1</v>
      </c>
    </row>
    <row r="55" spans="1:94" s="98" customFormat="1" ht="15" customHeight="1" x14ac:dyDescent="0.25">
      <c r="A55" s="742"/>
      <c r="B55" s="99">
        <v>4</v>
      </c>
      <c r="C55" s="245" t="s">
        <v>349</v>
      </c>
      <c r="D55" s="427"/>
      <c r="E55" s="427"/>
      <c r="F55" s="428"/>
      <c r="G55" s="427"/>
      <c r="H55" s="427"/>
      <c r="I55" s="427"/>
      <c r="J55" s="427"/>
      <c r="K55" s="427"/>
      <c r="L55" s="427"/>
      <c r="M55" s="427"/>
      <c r="N55" s="427"/>
      <c r="O55" s="428" t="s">
        <v>104</v>
      </c>
      <c r="P55" s="426" t="s">
        <v>424</v>
      </c>
      <c r="Q55" s="428" t="s">
        <v>102</v>
      </c>
      <c r="R55" s="427"/>
      <c r="S55" s="427"/>
      <c r="T55" s="428"/>
      <c r="U55" s="428"/>
      <c r="V55" s="428"/>
      <c r="W55" s="428"/>
      <c r="X55" s="428"/>
      <c r="Y55" s="428"/>
      <c r="Z55" s="428" t="s">
        <v>101</v>
      </c>
      <c r="AA55" s="428"/>
      <c r="AB55" s="428"/>
      <c r="AC55" s="428"/>
      <c r="AD55" s="428"/>
      <c r="AE55" s="429"/>
      <c r="AF55" s="132" t="str">
        <f t="shared" si="71"/>
        <v/>
      </c>
      <c r="AG55" s="132" t="str">
        <f t="shared" si="72"/>
        <v/>
      </c>
      <c r="AH55" s="132" t="str">
        <f t="shared" si="73"/>
        <v/>
      </c>
      <c r="AI55" s="132" t="str">
        <f t="shared" si="74"/>
        <v/>
      </c>
      <c r="AJ55" s="132" t="str">
        <f t="shared" si="75"/>
        <v/>
      </c>
      <c r="AK55" s="132" t="str">
        <f t="shared" si="76"/>
        <v/>
      </c>
      <c r="AL55" s="132" t="str">
        <f t="shared" si="77"/>
        <v/>
      </c>
      <c r="AM55" s="132" t="str">
        <f t="shared" si="78"/>
        <v/>
      </c>
      <c r="AN55" s="132" t="str">
        <f t="shared" si="79"/>
        <v/>
      </c>
      <c r="AO55" s="132" t="str">
        <f t="shared" si="80"/>
        <v/>
      </c>
      <c r="AP55" s="132" t="str">
        <f t="shared" si="81"/>
        <v/>
      </c>
      <c r="AQ55" s="132" t="str">
        <f t="shared" si="82"/>
        <v/>
      </c>
      <c r="AR55" s="132" t="str">
        <f t="shared" si="83"/>
        <v/>
      </c>
      <c r="AS55" s="132" t="str">
        <f t="shared" si="84"/>
        <v/>
      </c>
      <c r="AT55" s="132" t="str">
        <f t="shared" si="85"/>
        <v/>
      </c>
      <c r="AU55" s="132" t="str">
        <f t="shared" si="86"/>
        <v/>
      </c>
      <c r="AV55" s="132" t="str">
        <f t="shared" si="87"/>
        <v/>
      </c>
      <c r="AW55" s="132" t="str">
        <f t="shared" si="88"/>
        <v/>
      </c>
      <c r="AX55" s="132" t="str">
        <f>IF(COUNTIF($D55:$AE55,"LC6")&gt;=1,COUNTIF($D55:$AE55,"LC6"),"")</f>
        <v/>
      </c>
      <c r="AY55" s="132" t="str">
        <f t="shared" si="90"/>
        <v/>
      </c>
      <c r="AZ55" s="132" t="str">
        <f t="shared" si="91"/>
        <v/>
      </c>
      <c r="BA55" s="132" t="str">
        <f t="shared" si="92"/>
        <v/>
      </c>
      <c r="BB55" s="132" t="str">
        <f t="shared" si="93"/>
        <v/>
      </c>
      <c r="BC55" s="132" t="str">
        <f t="shared" si="94"/>
        <v/>
      </c>
      <c r="BD55" s="132" t="str">
        <f t="shared" si="95"/>
        <v/>
      </c>
      <c r="BE55" s="132" t="str">
        <f t="shared" si="96"/>
        <v/>
      </c>
      <c r="BF55" s="132" t="str">
        <f t="shared" si="97"/>
        <v/>
      </c>
      <c r="BG55" s="132" t="str">
        <f t="shared" si="98"/>
        <v/>
      </c>
      <c r="BH55" s="132" t="str">
        <f t="shared" si="99"/>
        <v/>
      </c>
      <c r="BI55" s="132" t="str">
        <f t="shared" si="100"/>
        <v/>
      </c>
      <c r="BJ55" s="132" t="str">
        <f t="shared" si="101"/>
        <v/>
      </c>
      <c r="BK55" s="132" t="str">
        <f t="shared" si="102"/>
        <v/>
      </c>
      <c r="BL55" s="132" t="str">
        <f t="shared" si="103"/>
        <v/>
      </c>
      <c r="BM55" s="132" t="str">
        <f t="shared" si="104"/>
        <v/>
      </c>
      <c r="BN55" s="132" t="str">
        <f t="shared" si="105"/>
        <v/>
      </c>
      <c r="BO55" s="132" t="str">
        <f t="shared" si="106"/>
        <v/>
      </c>
      <c r="BP55" s="132" t="str">
        <f t="shared" si="107"/>
        <v/>
      </c>
      <c r="BQ55" s="132" t="str">
        <f t="shared" si="108"/>
        <v/>
      </c>
      <c r="BR55" s="132" t="str">
        <f t="shared" si="109"/>
        <v/>
      </c>
      <c r="BS55" s="132" t="str">
        <f t="shared" si="110"/>
        <v/>
      </c>
      <c r="BT55" s="132" t="str">
        <f t="shared" si="111"/>
        <v/>
      </c>
      <c r="BU55" s="132" t="str">
        <f t="shared" si="112"/>
        <v/>
      </c>
      <c r="BV55" s="132" t="str">
        <f t="shared" si="113"/>
        <v/>
      </c>
      <c r="BW55" s="132" t="str">
        <f t="shared" si="114"/>
        <v/>
      </c>
      <c r="BX55" s="132" t="str">
        <f t="shared" si="115"/>
        <v/>
      </c>
      <c r="BY55" s="132" t="str">
        <f t="shared" si="116"/>
        <v/>
      </c>
      <c r="BZ55" s="132" t="str">
        <f t="shared" si="117"/>
        <v/>
      </c>
      <c r="CA55" s="132" t="str">
        <f t="shared" si="118"/>
        <v/>
      </c>
      <c r="CB55" s="132" t="str">
        <f t="shared" si="119"/>
        <v/>
      </c>
      <c r="CC55" s="132" t="str">
        <f t="shared" si="120"/>
        <v/>
      </c>
      <c r="CD55" s="132" t="str">
        <f t="shared" si="121"/>
        <v/>
      </c>
      <c r="CE55" s="132" t="str">
        <f t="shared" si="122"/>
        <v/>
      </c>
      <c r="CF55" s="132" t="str">
        <f t="shared" si="123"/>
        <v/>
      </c>
      <c r="CG55" s="132" t="str">
        <f t="shared" si="124"/>
        <v/>
      </c>
      <c r="CH55" s="132" t="str">
        <f t="shared" si="125"/>
        <v/>
      </c>
      <c r="CI55" s="132" t="str">
        <f t="shared" si="126"/>
        <v/>
      </c>
      <c r="CJ55" s="132" t="str">
        <f t="shared" si="127"/>
        <v/>
      </c>
      <c r="CK55" s="132" t="str">
        <f t="shared" si="128"/>
        <v/>
      </c>
      <c r="CL55" s="132">
        <f t="shared" si="129"/>
        <v>1</v>
      </c>
      <c r="CM55" s="132">
        <f t="shared" si="130"/>
        <v>1</v>
      </c>
      <c r="CN55" s="132">
        <f t="shared" si="131"/>
        <v>1</v>
      </c>
      <c r="CO55" s="132" t="str">
        <f t="shared" si="132"/>
        <v/>
      </c>
      <c r="CP55" s="132">
        <f t="shared" si="133"/>
        <v>1</v>
      </c>
    </row>
    <row r="56" spans="1:94" ht="15" customHeight="1" x14ac:dyDescent="0.25">
      <c r="A56" s="743">
        <v>6</v>
      </c>
      <c r="B56" s="92">
        <v>1</v>
      </c>
      <c r="C56" s="240" t="s">
        <v>346</v>
      </c>
      <c r="D56" s="369" t="s">
        <v>103</v>
      </c>
      <c r="E56" s="294" t="s">
        <v>424</v>
      </c>
      <c r="F56" s="369"/>
      <c r="G56" s="369"/>
      <c r="H56" s="368" t="s">
        <v>104</v>
      </c>
      <c r="I56" s="368"/>
      <c r="J56" s="371"/>
      <c r="K56" s="368"/>
      <c r="L56" s="368"/>
      <c r="M56" s="371"/>
      <c r="N56" s="371"/>
      <c r="O56" s="368"/>
      <c r="P56" s="299"/>
      <c r="Q56" s="299"/>
      <c r="R56" s="368"/>
      <c r="S56" s="368"/>
      <c r="T56" s="368"/>
      <c r="U56" s="371" t="s">
        <v>102</v>
      </c>
      <c r="V56" s="334"/>
      <c r="W56" s="334"/>
      <c r="X56" s="334"/>
      <c r="Y56" s="334"/>
      <c r="Z56" s="333"/>
      <c r="AA56" s="368"/>
      <c r="AB56" s="368"/>
      <c r="AC56" s="368" t="s">
        <v>101</v>
      </c>
      <c r="AD56" s="368"/>
      <c r="AE56" s="386"/>
      <c r="AF56" s="63" t="str">
        <f t="shared" si="71"/>
        <v/>
      </c>
      <c r="AG56" s="63" t="str">
        <f t="shared" si="72"/>
        <v/>
      </c>
      <c r="AH56" s="63" t="str">
        <f t="shared" si="73"/>
        <v/>
      </c>
      <c r="AI56" s="63" t="str">
        <f t="shared" si="74"/>
        <v/>
      </c>
      <c r="AJ56" s="63" t="str">
        <f t="shared" si="75"/>
        <v/>
      </c>
      <c r="AK56" s="63" t="str">
        <f t="shared" si="76"/>
        <v/>
      </c>
      <c r="AL56" s="63" t="str">
        <f t="shared" si="77"/>
        <v/>
      </c>
      <c r="AM56" s="63" t="str">
        <f t="shared" si="78"/>
        <v/>
      </c>
      <c r="AN56" s="63" t="str">
        <f t="shared" si="79"/>
        <v/>
      </c>
      <c r="AO56" s="63" t="str">
        <f t="shared" si="80"/>
        <v/>
      </c>
      <c r="AP56" s="63" t="str">
        <f t="shared" si="81"/>
        <v/>
      </c>
      <c r="AQ56" s="63" t="str">
        <f t="shared" si="82"/>
        <v/>
      </c>
      <c r="AR56" s="63" t="str">
        <f t="shared" si="83"/>
        <v/>
      </c>
      <c r="AS56" s="63" t="str">
        <f t="shared" si="84"/>
        <v/>
      </c>
      <c r="AT56" s="63" t="str">
        <f t="shared" si="85"/>
        <v/>
      </c>
      <c r="AU56" s="63" t="str">
        <f t="shared" si="86"/>
        <v/>
      </c>
      <c r="AV56" s="63" t="str">
        <f t="shared" si="87"/>
        <v/>
      </c>
      <c r="AW56" s="63" t="str">
        <f t="shared" si="88"/>
        <v/>
      </c>
      <c r="AX56" s="63" t="str">
        <f t="shared" si="89"/>
        <v/>
      </c>
      <c r="AY56" s="63" t="str">
        <f t="shared" si="90"/>
        <v/>
      </c>
      <c r="AZ56" s="63" t="str">
        <f t="shared" si="91"/>
        <v/>
      </c>
      <c r="BA56" s="63" t="str">
        <f t="shared" si="92"/>
        <v/>
      </c>
      <c r="BB56" s="63" t="str">
        <f t="shared" si="93"/>
        <v/>
      </c>
      <c r="BC56" s="63" t="str">
        <f t="shared" si="94"/>
        <v/>
      </c>
      <c r="BD56" s="63" t="str">
        <f t="shared" si="95"/>
        <v/>
      </c>
      <c r="BE56" s="63" t="str">
        <f t="shared" si="96"/>
        <v/>
      </c>
      <c r="BF56" s="63" t="str">
        <f t="shared" si="97"/>
        <v/>
      </c>
      <c r="BG56" s="63" t="str">
        <f t="shared" si="98"/>
        <v/>
      </c>
      <c r="BH56" s="63" t="str">
        <f t="shared" si="99"/>
        <v/>
      </c>
      <c r="BI56" s="63" t="str">
        <f t="shared" si="100"/>
        <v/>
      </c>
      <c r="BJ56" s="63" t="str">
        <f t="shared" si="101"/>
        <v/>
      </c>
      <c r="BK56" s="63" t="str">
        <f t="shared" si="102"/>
        <v/>
      </c>
      <c r="BL56" s="63" t="str">
        <f t="shared" si="103"/>
        <v/>
      </c>
      <c r="BM56" s="63" t="str">
        <f t="shared" si="104"/>
        <v/>
      </c>
      <c r="BN56" s="63" t="str">
        <f t="shared" si="105"/>
        <v/>
      </c>
      <c r="BO56" s="63" t="str">
        <f t="shared" si="106"/>
        <v/>
      </c>
      <c r="BP56" s="63" t="str">
        <f t="shared" si="107"/>
        <v/>
      </c>
      <c r="BQ56" s="63" t="str">
        <f t="shared" si="108"/>
        <v/>
      </c>
      <c r="BR56" s="63" t="str">
        <f t="shared" si="109"/>
        <v/>
      </c>
      <c r="BS56" s="63" t="str">
        <f t="shared" si="110"/>
        <v/>
      </c>
      <c r="BT56" s="63" t="str">
        <f t="shared" si="111"/>
        <v/>
      </c>
      <c r="BU56" s="63" t="str">
        <f t="shared" si="112"/>
        <v/>
      </c>
      <c r="BV56" s="63" t="str">
        <f t="shared" si="113"/>
        <v/>
      </c>
      <c r="BW56" s="63" t="str">
        <f t="shared" si="114"/>
        <v/>
      </c>
      <c r="BX56" s="63" t="str">
        <f t="shared" si="115"/>
        <v/>
      </c>
      <c r="BY56" s="63" t="str">
        <f t="shared" si="116"/>
        <v/>
      </c>
      <c r="BZ56" s="63" t="str">
        <f t="shared" si="117"/>
        <v/>
      </c>
      <c r="CA56" s="63" t="str">
        <f t="shared" si="118"/>
        <v/>
      </c>
      <c r="CB56" s="63" t="str">
        <f t="shared" si="119"/>
        <v/>
      </c>
      <c r="CC56" s="63" t="str">
        <f t="shared" si="120"/>
        <v/>
      </c>
      <c r="CD56" s="63" t="str">
        <f t="shared" si="121"/>
        <v/>
      </c>
      <c r="CE56" s="63" t="str">
        <f t="shared" si="122"/>
        <v/>
      </c>
      <c r="CF56" s="63" t="str">
        <f t="shared" si="123"/>
        <v/>
      </c>
      <c r="CG56" s="63" t="str">
        <f t="shared" si="124"/>
        <v/>
      </c>
      <c r="CH56" s="63" t="str">
        <f t="shared" si="125"/>
        <v/>
      </c>
      <c r="CI56" s="63" t="str">
        <f t="shared" si="126"/>
        <v/>
      </c>
      <c r="CJ56" s="63" t="str">
        <f t="shared" si="127"/>
        <v/>
      </c>
      <c r="CK56" s="63" t="str">
        <f t="shared" si="128"/>
        <v/>
      </c>
      <c r="CL56" s="63">
        <f t="shared" si="129"/>
        <v>1</v>
      </c>
      <c r="CM56" s="63">
        <f t="shared" si="130"/>
        <v>1</v>
      </c>
      <c r="CN56" s="63">
        <f t="shared" si="131"/>
        <v>1</v>
      </c>
      <c r="CO56" s="63">
        <f t="shared" si="132"/>
        <v>1</v>
      </c>
      <c r="CP56" s="63">
        <f t="shared" si="133"/>
        <v>1</v>
      </c>
    </row>
    <row r="57" spans="1:94" ht="15" customHeight="1" x14ac:dyDescent="0.25">
      <c r="A57" s="743"/>
      <c r="B57" s="93">
        <v>2</v>
      </c>
      <c r="C57" s="241" t="s">
        <v>347</v>
      </c>
      <c r="D57" s="294" t="s">
        <v>424</v>
      </c>
      <c r="E57" s="369" t="s">
        <v>103</v>
      </c>
      <c r="F57" s="369"/>
      <c r="G57" s="369"/>
      <c r="H57" s="369"/>
      <c r="I57" s="369" t="s">
        <v>104</v>
      </c>
      <c r="J57" s="369"/>
      <c r="K57" s="369"/>
      <c r="L57" s="369"/>
      <c r="M57" s="369"/>
      <c r="N57" s="369"/>
      <c r="O57" s="369"/>
      <c r="P57" s="299"/>
      <c r="Q57" s="299"/>
      <c r="R57" s="369"/>
      <c r="S57" s="369"/>
      <c r="T57" s="369"/>
      <c r="U57" s="294" t="s">
        <v>102</v>
      </c>
      <c r="V57" s="326"/>
      <c r="W57" s="326"/>
      <c r="X57" s="326"/>
      <c r="Y57" s="326"/>
      <c r="Z57" s="335"/>
      <c r="AA57" s="369"/>
      <c r="AB57" s="369" t="s">
        <v>101</v>
      </c>
      <c r="AC57" s="369"/>
      <c r="AD57" s="369"/>
      <c r="AE57" s="387"/>
      <c r="AF57" s="63" t="str">
        <f t="shared" si="71"/>
        <v/>
      </c>
      <c r="AG57" s="63" t="str">
        <f t="shared" si="72"/>
        <v/>
      </c>
      <c r="AH57" s="63" t="str">
        <f t="shared" si="73"/>
        <v/>
      </c>
      <c r="AI57" s="63" t="str">
        <f t="shared" si="74"/>
        <v/>
      </c>
      <c r="AJ57" s="63" t="str">
        <f t="shared" si="75"/>
        <v/>
      </c>
      <c r="AK57" s="63" t="str">
        <f t="shared" si="76"/>
        <v/>
      </c>
      <c r="AL57" s="63" t="str">
        <f t="shared" si="77"/>
        <v/>
      </c>
      <c r="AM57" s="63" t="str">
        <f t="shared" si="78"/>
        <v/>
      </c>
      <c r="AN57" s="63" t="str">
        <f t="shared" si="79"/>
        <v/>
      </c>
      <c r="AO57" s="63" t="str">
        <f t="shared" si="80"/>
        <v/>
      </c>
      <c r="AP57" s="63" t="str">
        <f t="shared" si="81"/>
        <v/>
      </c>
      <c r="AQ57" s="63" t="str">
        <f t="shared" si="82"/>
        <v/>
      </c>
      <c r="AR57" s="63" t="str">
        <f t="shared" si="83"/>
        <v/>
      </c>
      <c r="AS57" s="63" t="str">
        <f t="shared" si="84"/>
        <v/>
      </c>
      <c r="AT57" s="63" t="str">
        <f t="shared" si="85"/>
        <v/>
      </c>
      <c r="AU57" s="63" t="str">
        <f t="shared" si="86"/>
        <v/>
      </c>
      <c r="AV57" s="63" t="str">
        <f t="shared" si="87"/>
        <v/>
      </c>
      <c r="AW57" s="63" t="str">
        <f t="shared" si="88"/>
        <v/>
      </c>
      <c r="AX57" s="63" t="str">
        <f t="shared" si="89"/>
        <v/>
      </c>
      <c r="AY57" s="63" t="str">
        <f t="shared" si="90"/>
        <v/>
      </c>
      <c r="AZ57" s="63" t="str">
        <f t="shared" si="91"/>
        <v/>
      </c>
      <c r="BA57" s="63" t="str">
        <f t="shared" si="92"/>
        <v/>
      </c>
      <c r="BB57" s="63" t="str">
        <f t="shared" si="93"/>
        <v/>
      </c>
      <c r="BC57" s="63" t="str">
        <f t="shared" si="94"/>
        <v/>
      </c>
      <c r="BD57" s="63" t="str">
        <f t="shared" si="95"/>
        <v/>
      </c>
      <c r="BE57" s="63" t="str">
        <f t="shared" si="96"/>
        <v/>
      </c>
      <c r="BF57" s="63" t="str">
        <f t="shared" si="97"/>
        <v/>
      </c>
      <c r="BG57" s="63" t="str">
        <f t="shared" si="98"/>
        <v/>
      </c>
      <c r="BH57" s="63" t="str">
        <f t="shared" si="99"/>
        <v/>
      </c>
      <c r="BI57" s="63" t="str">
        <f t="shared" si="100"/>
        <v/>
      </c>
      <c r="BJ57" s="63" t="str">
        <f t="shared" si="101"/>
        <v/>
      </c>
      <c r="BK57" s="63" t="str">
        <f t="shared" si="102"/>
        <v/>
      </c>
      <c r="BL57" s="63" t="str">
        <f t="shared" si="103"/>
        <v/>
      </c>
      <c r="BM57" s="63" t="str">
        <f t="shared" si="104"/>
        <v/>
      </c>
      <c r="BN57" s="63" t="str">
        <f t="shared" si="105"/>
        <v/>
      </c>
      <c r="BO57" s="63" t="str">
        <f t="shared" si="106"/>
        <v/>
      </c>
      <c r="BP57" s="63" t="str">
        <f t="shared" si="107"/>
        <v/>
      </c>
      <c r="BQ57" s="63" t="str">
        <f t="shared" si="108"/>
        <v/>
      </c>
      <c r="BR57" s="63" t="str">
        <f t="shared" si="109"/>
        <v/>
      </c>
      <c r="BS57" s="63" t="str">
        <f t="shared" si="110"/>
        <v/>
      </c>
      <c r="BT57" s="63" t="str">
        <f t="shared" si="111"/>
        <v/>
      </c>
      <c r="BU57" s="63" t="str">
        <f t="shared" si="112"/>
        <v/>
      </c>
      <c r="BV57" s="63" t="str">
        <f t="shared" si="113"/>
        <v/>
      </c>
      <c r="BW57" s="63" t="str">
        <f t="shared" si="114"/>
        <v/>
      </c>
      <c r="BX57" s="63" t="str">
        <f t="shared" si="115"/>
        <v/>
      </c>
      <c r="BY57" s="63" t="str">
        <f t="shared" si="116"/>
        <v/>
      </c>
      <c r="BZ57" s="63" t="str">
        <f t="shared" si="117"/>
        <v/>
      </c>
      <c r="CA57" s="63" t="str">
        <f t="shared" si="118"/>
        <v/>
      </c>
      <c r="CB57" s="63" t="str">
        <f t="shared" si="119"/>
        <v/>
      </c>
      <c r="CC57" s="63" t="str">
        <f t="shared" si="120"/>
        <v/>
      </c>
      <c r="CD57" s="63" t="str">
        <f t="shared" si="121"/>
        <v/>
      </c>
      <c r="CE57" s="63" t="str">
        <f t="shared" si="122"/>
        <v/>
      </c>
      <c r="CF57" s="63" t="str">
        <f t="shared" si="123"/>
        <v/>
      </c>
      <c r="CG57" s="63" t="str">
        <f t="shared" si="124"/>
        <v/>
      </c>
      <c r="CH57" s="63" t="str">
        <f t="shared" si="125"/>
        <v/>
      </c>
      <c r="CI57" s="63" t="str">
        <f t="shared" si="126"/>
        <v/>
      </c>
      <c r="CJ57" s="63" t="str">
        <f t="shared" si="127"/>
        <v/>
      </c>
      <c r="CK57" s="63" t="str">
        <f t="shared" si="128"/>
        <v/>
      </c>
      <c r="CL57" s="63">
        <f t="shared" si="129"/>
        <v>1</v>
      </c>
      <c r="CM57" s="63">
        <f t="shared" si="130"/>
        <v>1</v>
      </c>
      <c r="CN57" s="63">
        <f t="shared" si="131"/>
        <v>1</v>
      </c>
      <c r="CO57" s="63">
        <f t="shared" si="132"/>
        <v>1</v>
      </c>
      <c r="CP57" s="63">
        <f t="shared" si="133"/>
        <v>1</v>
      </c>
    </row>
    <row r="58" spans="1:94" ht="15" customHeight="1" x14ac:dyDescent="0.25">
      <c r="A58" s="743"/>
      <c r="B58" s="93">
        <v>3</v>
      </c>
      <c r="C58" s="241" t="s">
        <v>348</v>
      </c>
      <c r="D58" s="369"/>
      <c r="E58" s="369"/>
      <c r="F58" s="369" t="s">
        <v>103</v>
      </c>
      <c r="G58" s="294" t="s">
        <v>424</v>
      </c>
      <c r="H58" s="369"/>
      <c r="I58" s="369"/>
      <c r="J58" s="299" t="s">
        <v>104</v>
      </c>
      <c r="K58" s="369"/>
      <c r="L58" s="369"/>
      <c r="M58" s="369"/>
      <c r="N58" s="369"/>
      <c r="O58" s="369"/>
      <c r="P58" s="369"/>
      <c r="Q58" s="294"/>
      <c r="R58" s="369"/>
      <c r="S58" s="369"/>
      <c r="T58" s="294" t="s">
        <v>102</v>
      </c>
      <c r="U58" s="369"/>
      <c r="V58" s="326"/>
      <c r="W58" s="326"/>
      <c r="X58" s="335"/>
      <c r="Y58" s="326"/>
      <c r="Z58" s="326"/>
      <c r="AA58" s="369"/>
      <c r="AB58" s="369"/>
      <c r="AC58" s="369"/>
      <c r="AD58" s="369"/>
      <c r="AE58" s="388" t="s">
        <v>101</v>
      </c>
      <c r="AF58" s="63" t="str">
        <f t="shared" si="71"/>
        <v/>
      </c>
      <c r="AG58" s="63" t="str">
        <f t="shared" si="72"/>
        <v/>
      </c>
      <c r="AH58" s="63" t="str">
        <f t="shared" si="73"/>
        <v/>
      </c>
      <c r="AI58" s="63" t="str">
        <f t="shared" si="74"/>
        <v/>
      </c>
      <c r="AJ58" s="63" t="str">
        <f t="shared" si="75"/>
        <v/>
      </c>
      <c r="AK58" s="63" t="str">
        <f t="shared" si="76"/>
        <v/>
      </c>
      <c r="AL58" s="63" t="str">
        <f t="shared" si="77"/>
        <v/>
      </c>
      <c r="AM58" s="63" t="str">
        <f t="shared" si="78"/>
        <v/>
      </c>
      <c r="AN58" s="63" t="str">
        <f t="shared" si="79"/>
        <v/>
      </c>
      <c r="AO58" s="63" t="str">
        <f t="shared" si="80"/>
        <v/>
      </c>
      <c r="AP58" s="63" t="str">
        <f t="shared" si="81"/>
        <v/>
      </c>
      <c r="AQ58" s="63" t="str">
        <f t="shared" si="82"/>
        <v/>
      </c>
      <c r="AR58" s="63" t="str">
        <f t="shared" si="83"/>
        <v/>
      </c>
      <c r="AS58" s="63" t="str">
        <f t="shared" si="84"/>
        <v/>
      </c>
      <c r="AT58" s="63" t="str">
        <f t="shared" si="85"/>
        <v/>
      </c>
      <c r="AU58" s="63" t="str">
        <f t="shared" si="86"/>
        <v/>
      </c>
      <c r="AV58" s="63" t="str">
        <f t="shared" si="87"/>
        <v/>
      </c>
      <c r="AW58" s="63" t="str">
        <f t="shared" si="88"/>
        <v/>
      </c>
      <c r="AX58" s="63" t="str">
        <f t="shared" si="89"/>
        <v/>
      </c>
      <c r="AY58" s="63" t="str">
        <f t="shared" si="90"/>
        <v/>
      </c>
      <c r="AZ58" s="63" t="str">
        <f t="shared" si="91"/>
        <v/>
      </c>
      <c r="BA58" s="63" t="str">
        <f t="shared" si="92"/>
        <v/>
      </c>
      <c r="BB58" s="63" t="str">
        <f t="shared" si="93"/>
        <v/>
      </c>
      <c r="BC58" s="63" t="str">
        <f t="shared" si="94"/>
        <v/>
      </c>
      <c r="BD58" s="63" t="str">
        <f t="shared" si="95"/>
        <v/>
      </c>
      <c r="BE58" s="63" t="str">
        <f t="shared" si="96"/>
        <v/>
      </c>
      <c r="BF58" s="63" t="str">
        <f t="shared" si="97"/>
        <v/>
      </c>
      <c r="BG58" s="63" t="str">
        <f t="shared" si="98"/>
        <v/>
      </c>
      <c r="BH58" s="63" t="str">
        <f t="shared" si="99"/>
        <v/>
      </c>
      <c r="BI58" s="63" t="str">
        <f t="shared" si="100"/>
        <v/>
      </c>
      <c r="BJ58" s="63" t="str">
        <f t="shared" si="101"/>
        <v/>
      </c>
      <c r="BK58" s="63" t="str">
        <f t="shared" si="102"/>
        <v/>
      </c>
      <c r="BL58" s="63" t="str">
        <f t="shared" si="103"/>
        <v/>
      </c>
      <c r="BM58" s="63" t="str">
        <f t="shared" si="104"/>
        <v/>
      </c>
      <c r="BN58" s="63" t="str">
        <f t="shared" si="105"/>
        <v/>
      </c>
      <c r="BO58" s="63" t="str">
        <f t="shared" si="106"/>
        <v/>
      </c>
      <c r="BP58" s="63" t="str">
        <f t="shared" si="107"/>
        <v/>
      </c>
      <c r="BQ58" s="63" t="str">
        <f t="shared" si="108"/>
        <v/>
      </c>
      <c r="BR58" s="63" t="str">
        <f t="shared" si="109"/>
        <v/>
      </c>
      <c r="BS58" s="63" t="str">
        <f t="shared" si="110"/>
        <v/>
      </c>
      <c r="BT58" s="63" t="str">
        <f t="shared" si="111"/>
        <v/>
      </c>
      <c r="BU58" s="63" t="str">
        <f t="shared" si="112"/>
        <v/>
      </c>
      <c r="BV58" s="63" t="str">
        <f t="shared" si="113"/>
        <v/>
      </c>
      <c r="BW58" s="63" t="str">
        <f t="shared" si="114"/>
        <v/>
      </c>
      <c r="BX58" s="63" t="str">
        <f t="shared" si="115"/>
        <v/>
      </c>
      <c r="BY58" s="63" t="str">
        <f t="shared" si="116"/>
        <v/>
      </c>
      <c r="BZ58" s="63" t="str">
        <f t="shared" si="117"/>
        <v/>
      </c>
      <c r="CA58" s="63" t="str">
        <f t="shared" si="118"/>
        <v/>
      </c>
      <c r="CB58" s="63" t="str">
        <f t="shared" si="119"/>
        <v/>
      </c>
      <c r="CC58" s="63" t="str">
        <f t="shared" si="120"/>
        <v/>
      </c>
      <c r="CD58" s="63" t="str">
        <f t="shared" si="121"/>
        <v/>
      </c>
      <c r="CE58" s="63" t="str">
        <f t="shared" si="122"/>
        <v/>
      </c>
      <c r="CF58" s="63" t="str">
        <f t="shared" si="123"/>
        <v/>
      </c>
      <c r="CG58" s="63" t="str">
        <f t="shared" si="124"/>
        <v/>
      </c>
      <c r="CH58" s="63" t="str">
        <f t="shared" si="125"/>
        <v/>
      </c>
      <c r="CI58" s="63" t="str">
        <f t="shared" si="126"/>
        <v/>
      </c>
      <c r="CJ58" s="63" t="str">
        <f t="shared" si="127"/>
        <v/>
      </c>
      <c r="CK58" s="63" t="str">
        <f t="shared" si="128"/>
        <v/>
      </c>
      <c r="CL58" s="63">
        <f t="shared" si="129"/>
        <v>1</v>
      </c>
      <c r="CM58" s="63">
        <f>IF(COUNTIF($D58:$AE58,"TQ1")&gt;=1,COUNTIF($D58:$AE58,"TQ1"),"")</f>
        <v>1</v>
      </c>
      <c r="CN58" s="63">
        <f>IF(COUNTIF($D58:$AE58,"TQ3")&gt;=1,COUNTIF($D58:$AE58,"TQ3"),"")</f>
        <v>1</v>
      </c>
      <c r="CO58" s="63">
        <f t="shared" si="132"/>
        <v>1</v>
      </c>
      <c r="CP58" s="63">
        <f t="shared" si="133"/>
        <v>1</v>
      </c>
    </row>
    <row r="59" spans="1:94" ht="15" customHeight="1" x14ac:dyDescent="0.25">
      <c r="A59" s="743"/>
      <c r="B59" s="93">
        <v>4</v>
      </c>
      <c r="C59" s="241" t="s">
        <v>349</v>
      </c>
      <c r="D59" s="369"/>
      <c r="E59" s="369"/>
      <c r="F59" s="294" t="s">
        <v>424</v>
      </c>
      <c r="G59" s="369" t="s">
        <v>103</v>
      </c>
      <c r="H59" s="293"/>
      <c r="I59" s="292"/>
      <c r="J59" s="325"/>
      <c r="K59" s="292" t="s">
        <v>104</v>
      </c>
      <c r="L59" s="292"/>
      <c r="M59" s="291"/>
      <c r="N59" s="292"/>
      <c r="O59" s="292"/>
      <c r="P59" s="325"/>
      <c r="Q59" s="325"/>
      <c r="R59" s="293"/>
      <c r="S59" s="374"/>
      <c r="T59" s="370" t="s">
        <v>102</v>
      </c>
      <c r="U59" s="325"/>
      <c r="V59" s="331"/>
      <c r="W59" s="331"/>
      <c r="X59" s="332"/>
      <c r="Y59" s="331"/>
      <c r="Z59" s="331"/>
      <c r="AA59" s="370"/>
      <c r="AB59" s="370"/>
      <c r="AC59" s="370"/>
      <c r="AD59" s="370" t="s">
        <v>101</v>
      </c>
      <c r="AE59" s="389"/>
      <c r="AF59" s="63" t="str">
        <f t="shared" si="71"/>
        <v/>
      </c>
      <c r="AG59" s="63" t="str">
        <f t="shared" si="72"/>
        <v/>
      </c>
      <c r="AH59" s="63" t="str">
        <f t="shared" si="73"/>
        <v/>
      </c>
      <c r="AI59" s="63" t="str">
        <f t="shared" si="74"/>
        <v/>
      </c>
      <c r="AJ59" s="63" t="str">
        <f t="shared" si="75"/>
        <v/>
      </c>
      <c r="AK59" s="63" t="str">
        <f t="shared" si="76"/>
        <v/>
      </c>
      <c r="AL59" s="63" t="str">
        <f t="shared" si="77"/>
        <v/>
      </c>
      <c r="AM59" s="63" t="str">
        <f t="shared" si="78"/>
        <v/>
      </c>
      <c r="AN59" s="63" t="str">
        <f t="shared" si="79"/>
        <v/>
      </c>
      <c r="AO59" s="63" t="str">
        <f t="shared" si="80"/>
        <v/>
      </c>
      <c r="AP59" s="63" t="str">
        <f t="shared" si="81"/>
        <v/>
      </c>
      <c r="AQ59" s="63" t="str">
        <f t="shared" si="82"/>
        <v/>
      </c>
      <c r="AR59" s="63" t="str">
        <f t="shared" si="83"/>
        <v/>
      </c>
      <c r="AS59" s="63" t="str">
        <f t="shared" si="84"/>
        <v/>
      </c>
      <c r="AT59" s="63" t="str">
        <f t="shared" si="85"/>
        <v/>
      </c>
      <c r="AU59" s="63" t="str">
        <f t="shared" si="86"/>
        <v/>
      </c>
      <c r="AV59" s="63" t="str">
        <f t="shared" si="87"/>
        <v/>
      </c>
      <c r="AW59" s="63" t="str">
        <f t="shared" si="88"/>
        <v/>
      </c>
      <c r="AX59" s="63" t="str">
        <f t="shared" si="89"/>
        <v/>
      </c>
      <c r="AY59" s="63" t="str">
        <f t="shared" si="90"/>
        <v/>
      </c>
      <c r="AZ59" s="63" t="str">
        <f t="shared" si="91"/>
        <v/>
      </c>
      <c r="BA59" s="63" t="str">
        <f t="shared" si="92"/>
        <v/>
      </c>
      <c r="BB59" s="63" t="str">
        <f t="shared" si="93"/>
        <v/>
      </c>
      <c r="BC59" s="63" t="str">
        <f t="shared" si="94"/>
        <v/>
      </c>
      <c r="BD59" s="63" t="str">
        <f t="shared" si="95"/>
        <v/>
      </c>
      <c r="BE59" s="63" t="str">
        <f t="shared" si="96"/>
        <v/>
      </c>
      <c r="BF59" s="63" t="str">
        <f t="shared" si="97"/>
        <v/>
      </c>
      <c r="BG59" s="63" t="str">
        <f t="shared" si="98"/>
        <v/>
      </c>
      <c r="BH59" s="63" t="str">
        <f t="shared" si="99"/>
        <v/>
      </c>
      <c r="BI59" s="63" t="str">
        <f t="shared" si="100"/>
        <v/>
      </c>
      <c r="BJ59" s="63" t="str">
        <f t="shared" si="101"/>
        <v/>
      </c>
      <c r="BK59" s="63" t="str">
        <f t="shared" si="102"/>
        <v/>
      </c>
      <c r="BL59" s="63" t="str">
        <f t="shared" si="103"/>
        <v/>
      </c>
      <c r="BM59" s="63" t="str">
        <f t="shared" si="104"/>
        <v/>
      </c>
      <c r="BN59" s="63" t="str">
        <f t="shared" si="105"/>
        <v/>
      </c>
      <c r="BO59" s="63" t="str">
        <f t="shared" si="106"/>
        <v/>
      </c>
      <c r="BP59" s="63" t="str">
        <f t="shared" si="107"/>
        <v/>
      </c>
      <c r="BQ59" s="63" t="str">
        <f t="shared" si="108"/>
        <v/>
      </c>
      <c r="BR59" s="63" t="str">
        <f t="shared" si="109"/>
        <v/>
      </c>
      <c r="BS59" s="63" t="str">
        <f t="shared" si="110"/>
        <v/>
      </c>
      <c r="BT59" s="63" t="str">
        <f t="shared" si="111"/>
        <v/>
      </c>
      <c r="BU59" s="63" t="str">
        <f t="shared" si="112"/>
        <v/>
      </c>
      <c r="BV59" s="63" t="str">
        <f t="shared" si="113"/>
        <v/>
      </c>
      <c r="BW59" s="63" t="str">
        <f t="shared" si="114"/>
        <v/>
      </c>
      <c r="BX59" s="63" t="str">
        <f t="shared" si="115"/>
        <v/>
      </c>
      <c r="BY59" s="63" t="str">
        <f t="shared" si="116"/>
        <v/>
      </c>
      <c r="BZ59" s="63" t="str">
        <f t="shared" si="117"/>
        <v/>
      </c>
      <c r="CA59" s="63" t="str">
        <f t="shared" si="118"/>
        <v/>
      </c>
      <c r="CB59" s="63" t="str">
        <f t="shared" si="119"/>
        <v/>
      </c>
      <c r="CC59" s="63" t="str">
        <f t="shared" si="120"/>
        <v/>
      </c>
      <c r="CD59" s="63" t="str">
        <f t="shared" si="121"/>
        <v/>
      </c>
      <c r="CE59" s="63" t="str">
        <f t="shared" si="122"/>
        <v/>
      </c>
      <c r="CF59" s="63" t="str">
        <f t="shared" si="123"/>
        <v/>
      </c>
      <c r="CG59" s="63" t="str">
        <f t="shared" si="124"/>
        <v/>
      </c>
      <c r="CH59" s="63" t="str">
        <f t="shared" si="125"/>
        <v/>
      </c>
      <c r="CI59" s="63" t="str">
        <f t="shared" si="126"/>
        <v/>
      </c>
      <c r="CJ59" s="63" t="str">
        <f t="shared" si="127"/>
        <v/>
      </c>
      <c r="CK59" s="63" t="str">
        <f t="shared" si="128"/>
        <v/>
      </c>
      <c r="CL59" s="63">
        <f t="shared" si="129"/>
        <v>1</v>
      </c>
      <c r="CM59" s="63">
        <f>IF(COUNTIF($D59:$AE59,"TQ1")&gt;=1,COUNTIF($D59:$AE59,"TQ1"),"")</f>
        <v>1</v>
      </c>
      <c r="CN59" s="63">
        <f>IF(COUNTIF($D59:$AE59,"TQ3")&gt;=1,COUNTIF($D59:$AE59,"TQ3"),"")</f>
        <v>1</v>
      </c>
      <c r="CO59" s="63">
        <f t="shared" si="132"/>
        <v>1</v>
      </c>
      <c r="CP59" s="63">
        <f t="shared" si="133"/>
        <v>1</v>
      </c>
    </row>
    <row r="60" spans="1:94" s="98" customFormat="1" ht="33.6" customHeight="1" thickBot="1" x14ac:dyDescent="0.3">
      <c r="A60" s="687"/>
      <c r="B60" s="688"/>
      <c r="C60" s="689"/>
      <c r="D60" s="297">
        <f t="shared" ref="D60:AD60" si="134">COUNTA(D40:D59)-3</f>
        <v>0</v>
      </c>
      <c r="E60" s="297">
        <f t="shared" si="134"/>
        <v>0</v>
      </c>
      <c r="F60" s="297">
        <f t="shared" si="134"/>
        <v>0</v>
      </c>
      <c r="G60" s="297">
        <f t="shared" si="134"/>
        <v>0</v>
      </c>
      <c r="H60" s="297">
        <f t="shared" si="134"/>
        <v>0</v>
      </c>
      <c r="I60" s="297">
        <f t="shared" si="134"/>
        <v>0</v>
      </c>
      <c r="J60" s="297">
        <f t="shared" si="134"/>
        <v>0</v>
      </c>
      <c r="K60" s="297">
        <f t="shared" si="134"/>
        <v>0</v>
      </c>
      <c r="L60" s="297">
        <f t="shared" si="134"/>
        <v>0</v>
      </c>
      <c r="M60" s="297">
        <f t="shared" si="134"/>
        <v>0</v>
      </c>
      <c r="N60" s="297">
        <f t="shared" si="134"/>
        <v>0</v>
      </c>
      <c r="O60" s="297">
        <f t="shared" si="134"/>
        <v>0</v>
      </c>
      <c r="P60" s="297">
        <f t="shared" si="134"/>
        <v>0</v>
      </c>
      <c r="Q60" s="297">
        <f>COUNTA(Q40:Q59)-3</f>
        <v>0</v>
      </c>
      <c r="R60" s="297">
        <f t="shared" si="134"/>
        <v>0</v>
      </c>
      <c r="S60" s="297">
        <f t="shared" si="134"/>
        <v>0</v>
      </c>
      <c r="T60" s="297">
        <f t="shared" si="134"/>
        <v>0</v>
      </c>
      <c r="U60" s="297">
        <f t="shared" si="134"/>
        <v>0</v>
      </c>
      <c r="V60" s="297">
        <f t="shared" si="134"/>
        <v>0</v>
      </c>
      <c r="W60" s="297">
        <f t="shared" si="134"/>
        <v>0</v>
      </c>
      <c r="X60" s="297">
        <f t="shared" si="134"/>
        <v>0</v>
      </c>
      <c r="Y60" s="297">
        <f t="shared" si="134"/>
        <v>0</v>
      </c>
      <c r="Z60" s="297">
        <f t="shared" si="134"/>
        <v>0</v>
      </c>
      <c r="AA60" s="297">
        <f t="shared" si="134"/>
        <v>0</v>
      </c>
      <c r="AB60" s="297">
        <f>COUNTA(AB40:AB59)-3</f>
        <v>0</v>
      </c>
      <c r="AC60" s="297">
        <f t="shared" si="134"/>
        <v>0</v>
      </c>
      <c r="AD60" s="297">
        <f t="shared" si="134"/>
        <v>0</v>
      </c>
      <c r="AE60" s="298">
        <f t="shared" ref="AE60" si="135">COUNTA(AE40:AE59)-3</f>
        <v>0</v>
      </c>
      <c r="AF60" s="132"/>
      <c r="AG60" s="132" t="str">
        <f t="shared" si="72"/>
        <v/>
      </c>
      <c r="AH60" s="132" t="str">
        <f t="shared" si="73"/>
        <v/>
      </c>
      <c r="AI60" s="132" t="str">
        <f t="shared" si="74"/>
        <v/>
      </c>
      <c r="AJ60" s="132" t="str">
        <f t="shared" si="75"/>
        <v/>
      </c>
      <c r="AK60" s="132" t="str">
        <f t="shared" si="76"/>
        <v/>
      </c>
      <c r="AL60" s="132" t="str">
        <f t="shared" si="77"/>
        <v/>
      </c>
      <c r="AM60" s="132" t="str">
        <f t="shared" si="78"/>
        <v/>
      </c>
      <c r="AN60" s="132" t="str">
        <f t="shared" si="79"/>
        <v/>
      </c>
      <c r="AO60" s="132" t="str">
        <f t="shared" si="80"/>
        <v/>
      </c>
      <c r="AP60" s="132" t="str">
        <f t="shared" si="81"/>
        <v/>
      </c>
      <c r="AQ60" s="132" t="str">
        <f t="shared" si="82"/>
        <v/>
      </c>
      <c r="AR60" s="132" t="str">
        <f t="shared" si="83"/>
        <v/>
      </c>
      <c r="AS60" s="132" t="str">
        <f t="shared" si="84"/>
        <v/>
      </c>
      <c r="AT60" s="132" t="str">
        <f t="shared" si="85"/>
        <v/>
      </c>
      <c r="AU60" s="132" t="str">
        <f t="shared" si="86"/>
        <v/>
      </c>
      <c r="AV60" s="132" t="str">
        <f t="shared" si="87"/>
        <v/>
      </c>
      <c r="AW60" s="132" t="str">
        <f t="shared" si="88"/>
        <v/>
      </c>
      <c r="AX60" s="132" t="str">
        <f t="shared" si="89"/>
        <v/>
      </c>
      <c r="AY60" s="132" t="str">
        <f t="shared" si="90"/>
        <v/>
      </c>
      <c r="AZ60" s="132" t="str">
        <f t="shared" si="91"/>
        <v/>
      </c>
      <c r="BA60" s="132" t="str">
        <f t="shared" si="92"/>
        <v/>
      </c>
      <c r="BB60" s="132" t="str">
        <f t="shared" si="93"/>
        <v/>
      </c>
      <c r="BC60" s="132" t="str">
        <f t="shared" si="94"/>
        <v/>
      </c>
      <c r="BD60" s="132" t="str">
        <f t="shared" si="95"/>
        <v/>
      </c>
      <c r="BE60" s="132" t="str">
        <f t="shared" si="96"/>
        <v/>
      </c>
      <c r="BF60" s="132" t="str">
        <f t="shared" si="97"/>
        <v/>
      </c>
      <c r="BG60" s="132" t="str">
        <f t="shared" si="98"/>
        <v/>
      </c>
      <c r="BH60" s="132" t="str">
        <f t="shared" si="99"/>
        <v/>
      </c>
      <c r="BI60" s="132" t="str">
        <f t="shared" si="100"/>
        <v/>
      </c>
      <c r="BJ60" s="132" t="str">
        <f t="shared" si="101"/>
        <v/>
      </c>
      <c r="BK60" s="132" t="str">
        <f t="shared" si="102"/>
        <v/>
      </c>
      <c r="BL60" s="132" t="str">
        <f t="shared" si="103"/>
        <v/>
      </c>
      <c r="BM60" s="132" t="str">
        <f t="shared" si="104"/>
        <v/>
      </c>
      <c r="BN60" s="132" t="str">
        <f t="shared" si="105"/>
        <v/>
      </c>
      <c r="BO60" s="132" t="str">
        <f t="shared" si="106"/>
        <v/>
      </c>
      <c r="BP60" s="132" t="str">
        <f t="shared" si="107"/>
        <v/>
      </c>
      <c r="BQ60" s="132" t="str">
        <f t="shared" si="108"/>
        <v/>
      </c>
      <c r="BR60" s="132" t="str">
        <f t="shared" si="109"/>
        <v/>
      </c>
      <c r="BS60" s="132" t="str">
        <f t="shared" si="110"/>
        <v/>
      </c>
      <c r="BT60" s="132" t="str">
        <f t="shared" si="111"/>
        <v/>
      </c>
      <c r="BU60" s="132" t="str">
        <f t="shared" si="112"/>
        <v/>
      </c>
      <c r="BV60" s="132" t="str">
        <f t="shared" si="113"/>
        <v/>
      </c>
      <c r="BW60" s="132" t="str">
        <f t="shared" si="114"/>
        <v/>
      </c>
      <c r="BX60" s="132" t="str">
        <f t="shared" si="115"/>
        <v/>
      </c>
      <c r="BY60" s="132" t="str">
        <f t="shared" si="116"/>
        <v/>
      </c>
      <c r="BZ60" s="132" t="str">
        <f t="shared" si="117"/>
        <v/>
      </c>
      <c r="CA60" s="132" t="str">
        <f t="shared" si="118"/>
        <v/>
      </c>
      <c r="CB60" s="132" t="str">
        <f t="shared" si="119"/>
        <v/>
      </c>
      <c r="CC60" s="132" t="str">
        <f t="shared" si="120"/>
        <v/>
      </c>
      <c r="CD60" s="132" t="str">
        <f t="shared" si="121"/>
        <v/>
      </c>
      <c r="CE60" s="132" t="str">
        <f t="shared" si="122"/>
        <v/>
      </c>
      <c r="CF60" s="132" t="str">
        <f t="shared" si="123"/>
        <v/>
      </c>
      <c r="CG60" s="132" t="str">
        <f t="shared" si="124"/>
        <v/>
      </c>
      <c r="CH60" s="132" t="str">
        <f t="shared" si="125"/>
        <v/>
      </c>
      <c r="CI60" s="132" t="str">
        <f t="shared" si="126"/>
        <v/>
      </c>
      <c r="CJ60" s="132" t="str">
        <f t="shared" si="127"/>
        <v/>
      </c>
      <c r="CK60" s="132" t="str">
        <f t="shared" si="128"/>
        <v/>
      </c>
      <c r="CL60" s="132" t="str">
        <f t="shared" si="129"/>
        <v/>
      </c>
      <c r="CM60" s="132" t="str">
        <f t="shared" si="130"/>
        <v/>
      </c>
      <c r="CN60" s="132" t="str">
        <f t="shared" si="131"/>
        <v/>
      </c>
      <c r="CO60" s="132" t="str">
        <f t="shared" si="132"/>
        <v/>
      </c>
      <c r="CP60" s="132" t="str">
        <f t="shared" si="133"/>
        <v/>
      </c>
    </row>
    <row r="61" spans="1:94" s="171" customFormat="1" ht="6.75" customHeight="1" thickTop="1" x14ac:dyDescent="0.2">
      <c r="A61" s="690"/>
      <c r="B61" s="690"/>
      <c r="C61" s="690"/>
      <c r="D61" s="690"/>
      <c r="E61" s="690"/>
      <c r="F61" s="690"/>
      <c r="G61" s="690"/>
      <c r="H61" s="690"/>
      <c r="I61" s="690"/>
      <c r="J61" s="690"/>
      <c r="K61" s="690"/>
      <c r="L61" s="690"/>
      <c r="M61" s="690"/>
      <c r="N61" s="690"/>
      <c r="O61" s="690"/>
      <c r="P61" s="690"/>
      <c r="Q61" s="690"/>
      <c r="R61" s="690"/>
      <c r="S61" s="690"/>
      <c r="T61" s="690"/>
      <c r="U61" s="690"/>
      <c r="V61" s="690"/>
      <c r="W61" s="690"/>
      <c r="X61" s="690"/>
      <c r="Y61" s="690"/>
      <c r="Z61" s="690"/>
      <c r="AA61" s="690"/>
      <c r="AB61" s="690"/>
      <c r="AC61" s="690"/>
      <c r="AD61" s="690"/>
      <c r="AE61" s="691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</row>
    <row r="62" spans="1:94" s="171" customFormat="1" ht="11.25" x14ac:dyDescent="0.2">
      <c r="A62" s="452" t="s">
        <v>2</v>
      </c>
      <c r="B62" s="452" t="s">
        <v>361</v>
      </c>
      <c r="C62" s="724" t="s">
        <v>456</v>
      </c>
      <c r="D62" s="724"/>
      <c r="E62" s="719" t="s">
        <v>362</v>
      </c>
      <c r="F62" s="719"/>
      <c r="G62" s="462" t="s">
        <v>2</v>
      </c>
      <c r="H62" s="462" t="s">
        <v>361</v>
      </c>
      <c r="I62" s="682" t="s">
        <v>456</v>
      </c>
      <c r="J62" s="682"/>
      <c r="K62" s="682"/>
      <c r="L62" s="682"/>
      <c r="M62" s="716" t="s">
        <v>362</v>
      </c>
      <c r="N62" s="716"/>
      <c r="O62" s="459" t="s">
        <v>2</v>
      </c>
      <c r="P62" s="459" t="s">
        <v>361</v>
      </c>
      <c r="Q62" s="659" t="s">
        <v>456</v>
      </c>
      <c r="R62" s="659"/>
      <c r="S62" s="659"/>
      <c r="T62" s="659"/>
      <c r="U62" s="697" t="s">
        <v>362</v>
      </c>
      <c r="V62" s="697"/>
      <c r="W62" s="460" t="s">
        <v>2</v>
      </c>
      <c r="X62" s="460" t="s">
        <v>361</v>
      </c>
      <c r="Y62" s="660" t="s">
        <v>456</v>
      </c>
      <c r="Z62" s="660"/>
      <c r="AA62" s="660"/>
      <c r="AB62" s="660"/>
      <c r="AC62" s="695" t="s">
        <v>362</v>
      </c>
      <c r="AD62" s="695"/>
      <c r="AE62" s="696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</row>
    <row r="63" spans="1:94" s="171" customFormat="1" ht="11.25" x14ac:dyDescent="0.2">
      <c r="A63" s="398">
        <v>1</v>
      </c>
      <c r="B63" s="396" t="s">
        <v>13</v>
      </c>
      <c r="C63" s="722" t="s">
        <v>115</v>
      </c>
      <c r="D63" s="723"/>
      <c r="E63" s="720" t="s">
        <v>14</v>
      </c>
      <c r="F63" s="721"/>
      <c r="G63" s="263">
        <v>16</v>
      </c>
      <c r="H63" s="266" t="s">
        <v>80</v>
      </c>
      <c r="I63" s="676" t="s">
        <v>152</v>
      </c>
      <c r="J63" s="677"/>
      <c r="K63" s="677"/>
      <c r="L63" s="678"/>
      <c r="M63" s="717" t="s">
        <v>29</v>
      </c>
      <c r="N63" s="718"/>
      <c r="O63" s="264">
        <v>31</v>
      </c>
      <c r="P63" s="268" t="s">
        <v>101</v>
      </c>
      <c r="Q63" s="667" t="s">
        <v>164</v>
      </c>
      <c r="R63" s="668"/>
      <c r="S63" s="668"/>
      <c r="T63" s="669"/>
      <c r="U63" s="663" t="s">
        <v>460</v>
      </c>
      <c r="V63" s="664"/>
      <c r="W63" s="269">
        <v>46</v>
      </c>
      <c r="X63" s="270" t="s">
        <v>58</v>
      </c>
      <c r="Y63" s="390" t="s">
        <v>470</v>
      </c>
      <c r="Z63" s="391"/>
      <c r="AA63" s="391"/>
      <c r="AB63" s="392"/>
      <c r="AC63" s="698" t="s">
        <v>363</v>
      </c>
      <c r="AD63" s="699"/>
      <c r="AE63" s="700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</row>
    <row r="64" spans="1:94" s="171" customFormat="1" ht="11.25" x14ac:dyDescent="0.2">
      <c r="A64" s="399">
        <v>2</v>
      </c>
      <c r="B64" s="397" t="s">
        <v>45</v>
      </c>
      <c r="C64" s="708" t="s">
        <v>117</v>
      </c>
      <c r="D64" s="709"/>
      <c r="E64" s="710" t="s">
        <v>14</v>
      </c>
      <c r="F64" s="711"/>
      <c r="G64" s="265">
        <v>17</v>
      </c>
      <c r="H64" s="266" t="s">
        <v>189</v>
      </c>
      <c r="I64" s="656" t="s">
        <v>205</v>
      </c>
      <c r="J64" s="657"/>
      <c r="K64" s="657"/>
      <c r="L64" s="658"/>
      <c r="M64" s="661" t="s">
        <v>29</v>
      </c>
      <c r="N64" s="662"/>
      <c r="O64" s="267">
        <v>32</v>
      </c>
      <c r="P64" s="268" t="s">
        <v>102</v>
      </c>
      <c r="Q64" s="670" t="s">
        <v>166</v>
      </c>
      <c r="R64" s="671"/>
      <c r="S64" s="671"/>
      <c r="T64" s="672"/>
      <c r="U64" s="665" t="s">
        <v>460</v>
      </c>
      <c r="V64" s="666"/>
      <c r="W64" s="269">
        <v>47</v>
      </c>
      <c r="X64" s="270" t="s">
        <v>59</v>
      </c>
      <c r="Y64" s="390" t="s">
        <v>131</v>
      </c>
      <c r="Z64" s="391"/>
      <c r="AA64" s="391"/>
      <c r="AB64" s="392"/>
      <c r="AC64" s="692" t="s">
        <v>363</v>
      </c>
      <c r="AD64" s="693"/>
      <c r="AE64" s="694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</row>
    <row r="65" spans="1:94" s="171" customFormat="1" ht="11.25" x14ac:dyDescent="0.2">
      <c r="A65" s="399">
        <v>3</v>
      </c>
      <c r="B65" s="397" t="s">
        <v>46</v>
      </c>
      <c r="C65" s="708" t="s">
        <v>118</v>
      </c>
      <c r="D65" s="709"/>
      <c r="E65" s="710" t="s">
        <v>14</v>
      </c>
      <c r="F65" s="711"/>
      <c r="G65" s="265">
        <v>18</v>
      </c>
      <c r="H65" s="274" t="s">
        <v>78</v>
      </c>
      <c r="I65" s="679" t="s">
        <v>447</v>
      </c>
      <c r="J65" s="680"/>
      <c r="K65" s="680"/>
      <c r="L65" s="681"/>
      <c r="M65" s="661" t="s">
        <v>29</v>
      </c>
      <c r="N65" s="662"/>
      <c r="O65" s="267">
        <v>33</v>
      </c>
      <c r="P65" s="268" t="s">
        <v>103</v>
      </c>
      <c r="Q65" s="670" t="s">
        <v>167</v>
      </c>
      <c r="R65" s="671"/>
      <c r="S65" s="671"/>
      <c r="T65" s="672"/>
      <c r="U65" s="665" t="s">
        <v>460</v>
      </c>
      <c r="V65" s="666"/>
      <c r="W65" s="269">
        <v>48</v>
      </c>
      <c r="X65" s="270" t="s">
        <v>60</v>
      </c>
      <c r="Y65" s="390" t="s">
        <v>132</v>
      </c>
      <c r="Z65" s="391"/>
      <c r="AA65" s="391"/>
      <c r="AB65" s="392"/>
      <c r="AC65" s="692" t="s">
        <v>363</v>
      </c>
      <c r="AD65" s="693"/>
      <c r="AE65" s="694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</row>
    <row r="66" spans="1:94" s="171" customFormat="1" ht="11.25" x14ac:dyDescent="0.2">
      <c r="A66" s="399">
        <v>4</v>
      </c>
      <c r="B66" s="397" t="s">
        <v>47</v>
      </c>
      <c r="C66" s="708" t="s">
        <v>119</v>
      </c>
      <c r="D66" s="709"/>
      <c r="E66" s="710" t="s">
        <v>14</v>
      </c>
      <c r="F66" s="711"/>
      <c r="G66" s="265">
        <v>19</v>
      </c>
      <c r="H66" s="274" t="s">
        <v>79</v>
      </c>
      <c r="I66" s="679" t="s">
        <v>448</v>
      </c>
      <c r="J66" s="680"/>
      <c r="K66" s="680"/>
      <c r="L66" s="681"/>
      <c r="M66" s="661" t="s">
        <v>29</v>
      </c>
      <c r="N66" s="662"/>
      <c r="O66" s="267">
        <v>34</v>
      </c>
      <c r="P66" s="395" t="s">
        <v>104</v>
      </c>
      <c r="Q66" s="673" t="s">
        <v>450</v>
      </c>
      <c r="R66" s="674"/>
      <c r="S66" s="674"/>
      <c r="T66" s="675"/>
      <c r="U66" s="665" t="s">
        <v>460</v>
      </c>
      <c r="V66" s="666"/>
      <c r="W66" s="269">
        <v>49</v>
      </c>
      <c r="X66" s="270" t="s">
        <v>61</v>
      </c>
      <c r="Y66" s="390" t="s">
        <v>133</v>
      </c>
      <c r="Z66" s="391"/>
      <c r="AA66" s="391"/>
      <c r="AB66" s="392"/>
      <c r="AC66" s="692" t="s">
        <v>363</v>
      </c>
      <c r="AD66" s="693"/>
      <c r="AE66" s="694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</row>
    <row r="67" spans="1:94" s="171" customFormat="1" ht="11.25" x14ac:dyDescent="0.2">
      <c r="A67" s="399">
        <v>5</v>
      </c>
      <c r="B67" s="397" t="s">
        <v>48</v>
      </c>
      <c r="C67" s="708" t="s">
        <v>120</v>
      </c>
      <c r="D67" s="709"/>
      <c r="E67" s="710" t="s">
        <v>44</v>
      </c>
      <c r="F67" s="711"/>
      <c r="G67" s="265">
        <v>20</v>
      </c>
      <c r="H67" s="274" t="s">
        <v>81</v>
      </c>
      <c r="I67" s="461" t="s">
        <v>509</v>
      </c>
      <c r="J67" s="454"/>
      <c r="K67" s="454"/>
      <c r="L67" s="455"/>
      <c r="M67" s="661" t="s">
        <v>29</v>
      </c>
      <c r="N67" s="662"/>
      <c r="O67" s="267">
        <v>35</v>
      </c>
      <c r="P67" s="268" t="s">
        <v>83</v>
      </c>
      <c r="Q67" s="670" t="s">
        <v>153</v>
      </c>
      <c r="R67" s="671"/>
      <c r="S67" s="671"/>
      <c r="T67" s="672"/>
      <c r="U67" s="665" t="s">
        <v>462</v>
      </c>
      <c r="V67" s="666"/>
      <c r="W67" s="269">
        <v>50</v>
      </c>
      <c r="X67" s="270" t="s">
        <v>62</v>
      </c>
      <c r="Y67" s="390" t="s">
        <v>461</v>
      </c>
      <c r="Z67" s="391"/>
      <c r="AA67" s="391"/>
      <c r="AB67" s="392"/>
      <c r="AC67" s="692" t="s">
        <v>363</v>
      </c>
      <c r="AD67" s="693"/>
      <c r="AE67" s="694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</row>
    <row r="68" spans="1:94" s="171" customFormat="1" ht="11.25" x14ac:dyDescent="0.2">
      <c r="A68" s="399">
        <v>6</v>
      </c>
      <c r="B68" s="397" t="s">
        <v>49</v>
      </c>
      <c r="C68" s="708" t="s">
        <v>463</v>
      </c>
      <c r="D68" s="709"/>
      <c r="E68" s="710" t="s">
        <v>44</v>
      </c>
      <c r="F68" s="711"/>
      <c r="G68" s="265">
        <v>21</v>
      </c>
      <c r="H68" s="272"/>
      <c r="I68" s="656"/>
      <c r="J68" s="657"/>
      <c r="K68" s="657"/>
      <c r="L68" s="658"/>
      <c r="M68" s="661"/>
      <c r="N68" s="662"/>
      <c r="O68" s="267">
        <v>36</v>
      </c>
      <c r="P68" s="268" t="s">
        <v>85</v>
      </c>
      <c r="Q68" s="670" t="s">
        <v>228</v>
      </c>
      <c r="R68" s="671"/>
      <c r="S68" s="671"/>
      <c r="T68" s="672"/>
      <c r="U68" s="665" t="s">
        <v>462</v>
      </c>
      <c r="V68" s="666"/>
      <c r="W68" s="269">
        <v>51</v>
      </c>
      <c r="X68" s="270" t="s">
        <v>63</v>
      </c>
      <c r="Y68" s="390" t="s">
        <v>135</v>
      </c>
      <c r="Z68" s="391"/>
      <c r="AA68" s="391"/>
      <c r="AB68" s="392"/>
      <c r="AC68" s="692" t="s">
        <v>363</v>
      </c>
      <c r="AD68" s="693"/>
      <c r="AE68" s="694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</row>
    <row r="69" spans="1:94" s="171" customFormat="1" ht="11.25" x14ac:dyDescent="0.2">
      <c r="A69" s="399">
        <v>7</v>
      </c>
      <c r="B69" s="397" t="s">
        <v>50</v>
      </c>
      <c r="C69" s="708" t="s">
        <v>123</v>
      </c>
      <c r="D69" s="709"/>
      <c r="E69" s="710" t="s">
        <v>44</v>
      </c>
      <c r="F69" s="711"/>
      <c r="G69" s="265">
        <v>22</v>
      </c>
      <c r="H69" s="274"/>
      <c r="I69" s="461"/>
      <c r="J69" s="454"/>
      <c r="K69" s="454"/>
      <c r="L69" s="455"/>
      <c r="M69" s="661"/>
      <c r="N69" s="662"/>
      <c r="O69" s="267">
        <v>37</v>
      </c>
      <c r="P69" s="268" t="s">
        <v>86</v>
      </c>
      <c r="Q69" s="670" t="s">
        <v>154</v>
      </c>
      <c r="R69" s="671"/>
      <c r="S69" s="671"/>
      <c r="T69" s="672"/>
      <c r="U69" s="665" t="s">
        <v>462</v>
      </c>
      <c r="V69" s="666"/>
      <c r="W69" s="269">
        <v>52</v>
      </c>
      <c r="X69" s="270" t="s">
        <v>64</v>
      </c>
      <c r="Y69" s="390" t="s">
        <v>136</v>
      </c>
      <c r="Z69" s="391"/>
      <c r="AA69" s="391"/>
      <c r="AB69" s="392"/>
      <c r="AC69" s="692" t="s">
        <v>65</v>
      </c>
      <c r="AD69" s="693"/>
      <c r="AE69" s="694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</row>
    <row r="70" spans="1:94" s="171" customFormat="1" ht="11.25" x14ac:dyDescent="0.2">
      <c r="A70" s="399">
        <v>8</v>
      </c>
      <c r="B70" s="397" t="s">
        <v>51</v>
      </c>
      <c r="C70" s="708" t="s">
        <v>125</v>
      </c>
      <c r="D70" s="709"/>
      <c r="E70" s="710" t="s">
        <v>44</v>
      </c>
      <c r="F70" s="711"/>
      <c r="G70" s="265">
        <v>23</v>
      </c>
      <c r="H70" s="266" t="s">
        <v>93</v>
      </c>
      <c r="I70" s="453" t="s">
        <v>158</v>
      </c>
      <c r="J70" s="454"/>
      <c r="K70" s="454"/>
      <c r="L70" s="455"/>
      <c r="M70" s="661" t="s">
        <v>464</v>
      </c>
      <c r="N70" s="662"/>
      <c r="O70" s="267">
        <v>38</v>
      </c>
      <c r="P70" s="395" t="s">
        <v>498</v>
      </c>
      <c r="Q70" s="673" t="s">
        <v>505</v>
      </c>
      <c r="R70" s="674"/>
      <c r="S70" s="674"/>
      <c r="T70" s="675"/>
      <c r="U70" s="665" t="s">
        <v>462</v>
      </c>
      <c r="V70" s="666"/>
      <c r="W70" s="269">
        <v>53</v>
      </c>
      <c r="X70" s="270" t="s">
        <v>66</v>
      </c>
      <c r="Y70" s="390" t="s">
        <v>137</v>
      </c>
      <c r="Z70" s="391"/>
      <c r="AA70" s="391"/>
      <c r="AB70" s="392"/>
      <c r="AC70" s="692" t="s">
        <v>65</v>
      </c>
      <c r="AD70" s="693"/>
      <c r="AE70" s="694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</row>
    <row r="71" spans="1:94" s="171" customFormat="1" ht="11.25" x14ac:dyDescent="0.2">
      <c r="A71" s="399">
        <v>9</v>
      </c>
      <c r="B71" s="397" t="s">
        <v>53</v>
      </c>
      <c r="C71" s="450" t="s">
        <v>126</v>
      </c>
      <c r="D71" s="451"/>
      <c r="E71" s="710" t="s">
        <v>44</v>
      </c>
      <c r="F71" s="711"/>
      <c r="G71" s="265">
        <v>24</v>
      </c>
      <c r="H71" s="266" t="s">
        <v>190</v>
      </c>
      <c r="I71" s="453" t="s">
        <v>163</v>
      </c>
      <c r="J71" s="454"/>
      <c r="K71" s="454"/>
      <c r="L71" s="455"/>
      <c r="M71" s="661" t="s">
        <v>464</v>
      </c>
      <c r="N71" s="662"/>
      <c r="O71" s="267">
        <v>39</v>
      </c>
      <c r="P71" s="268" t="s">
        <v>88</v>
      </c>
      <c r="Q71" s="670" t="s">
        <v>206</v>
      </c>
      <c r="R71" s="671"/>
      <c r="S71" s="671"/>
      <c r="T71" s="672"/>
      <c r="U71" s="665" t="s">
        <v>453</v>
      </c>
      <c r="V71" s="666"/>
      <c r="W71" s="269">
        <v>54</v>
      </c>
      <c r="X71" s="270" t="s">
        <v>67</v>
      </c>
      <c r="Y71" s="390" t="s">
        <v>139</v>
      </c>
      <c r="Z71" s="391"/>
      <c r="AA71" s="391"/>
      <c r="AB71" s="392"/>
      <c r="AC71" s="692" t="s">
        <v>65</v>
      </c>
      <c r="AD71" s="693"/>
      <c r="AE71" s="694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</row>
    <row r="72" spans="1:94" s="171" customFormat="1" ht="11.25" x14ac:dyDescent="0.2">
      <c r="A72" s="399">
        <v>10</v>
      </c>
      <c r="B72" s="397" t="s">
        <v>54</v>
      </c>
      <c r="C72" s="450" t="s">
        <v>127</v>
      </c>
      <c r="D72" s="451"/>
      <c r="E72" s="710" t="s">
        <v>44</v>
      </c>
      <c r="F72" s="711"/>
      <c r="G72" s="265">
        <v>25</v>
      </c>
      <c r="H72" s="266" t="s">
        <v>94</v>
      </c>
      <c r="I72" s="453" t="s">
        <v>159</v>
      </c>
      <c r="J72" s="454"/>
      <c r="K72" s="454"/>
      <c r="L72" s="455"/>
      <c r="M72" s="661" t="s">
        <v>464</v>
      </c>
      <c r="N72" s="662"/>
      <c r="O72" s="267">
        <v>40</v>
      </c>
      <c r="P72" s="268" t="s">
        <v>425</v>
      </c>
      <c r="Q72" s="670" t="s">
        <v>415</v>
      </c>
      <c r="R72" s="671"/>
      <c r="S72" s="671"/>
      <c r="T72" s="672"/>
      <c r="U72" s="665" t="s">
        <v>453</v>
      </c>
      <c r="V72" s="666"/>
      <c r="W72" s="269">
        <v>55</v>
      </c>
      <c r="X72" s="270" t="s">
        <v>68</v>
      </c>
      <c r="Y72" s="390" t="s">
        <v>141</v>
      </c>
      <c r="Z72" s="391"/>
      <c r="AA72" s="391"/>
      <c r="AB72" s="392"/>
      <c r="AC72" s="692" t="s">
        <v>65</v>
      </c>
      <c r="AD72" s="693"/>
      <c r="AE72" s="694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</row>
    <row r="73" spans="1:94" s="171" customFormat="1" ht="11.25" x14ac:dyDescent="0.2">
      <c r="A73" s="399">
        <v>11</v>
      </c>
      <c r="B73" s="397" t="s">
        <v>55</v>
      </c>
      <c r="C73" s="708" t="s">
        <v>128</v>
      </c>
      <c r="D73" s="709"/>
      <c r="E73" s="710" t="s">
        <v>44</v>
      </c>
      <c r="F73" s="711"/>
      <c r="G73" s="265">
        <v>26</v>
      </c>
      <c r="H73" s="266" t="s">
        <v>95</v>
      </c>
      <c r="I73" s="453" t="s">
        <v>160</v>
      </c>
      <c r="J73" s="454"/>
      <c r="K73" s="454"/>
      <c r="L73" s="455"/>
      <c r="M73" s="661" t="s">
        <v>464</v>
      </c>
      <c r="N73" s="662"/>
      <c r="O73" s="267">
        <v>41</v>
      </c>
      <c r="P73" s="268" t="s">
        <v>90</v>
      </c>
      <c r="Q73" s="456" t="s">
        <v>155</v>
      </c>
      <c r="R73" s="457"/>
      <c r="S73" s="457"/>
      <c r="T73" s="458"/>
      <c r="U73" s="665" t="s">
        <v>89</v>
      </c>
      <c r="V73" s="666"/>
      <c r="W73" s="269">
        <v>56</v>
      </c>
      <c r="X73" s="270" t="s">
        <v>69</v>
      </c>
      <c r="Y73" s="390" t="s">
        <v>231</v>
      </c>
      <c r="Z73" s="391"/>
      <c r="AA73" s="391"/>
      <c r="AB73" s="392"/>
      <c r="AC73" s="692" t="s">
        <v>65</v>
      </c>
      <c r="AD73" s="693"/>
      <c r="AE73" s="694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</row>
    <row r="74" spans="1:94" s="171" customFormat="1" ht="11.25" x14ac:dyDescent="0.2">
      <c r="A74" s="399">
        <v>12</v>
      </c>
      <c r="B74" s="397" t="s">
        <v>236</v>
      </c>
      <c r="C74" s="708" t="s">
        <v>237</v>
      </c>
      <c r="D74" s="709"/>
      <c r="E74" s="710" t="s">
        <v>466</v>
      </c>
      <c r="F74" s="711"/>
      <c r="G74" s="265">
        <v>27</v>
      </c>
      <c r="H74" s="266" t="s">
        <v>96</v>
      </c>
      <c r="I74" s="453" t="s">
        <v>161</v>
      </c>
      <c r="J74" s="454"/>
      <c r="K74" s="454"/>
      <c r="L74" s="455"/>
      <c r="M74" s="661" t="s">
        <v>464</v>
      </c>
      <c r="N74" s="662"/>
      <c r="O74" s="267">
        <v>42</v>
      </c>
      <c r="P74" s="268" t="s">
        <v>91</v>
      </c>
      <c r="Q74" s="456" t="s">
        <v>156</v>
      </c>
      <c r="R74" s="457"/>
      <c r="S74" s="457"/>
      <c r="T74" s="458"/>
      <c r="U74" s="665" t="s">
        <v>89</v>
      </c>
      <c r="V74" s="666"/>
      <c r="W74" s="269">
        <v>57</v>
      </c>
      <c r="X74" s="270" t="s">
        <v>70</v>
      </c>
      <c r="Y74" s="390" t="s">
        <v>144</v>
      </c>
      <c r="Z74" s="391"/>
      <c r="AA74" s="391"/>
      <c r="AB74" s="392"/>
      <c r="AC74" s="692" t="s">
        <v>465</v>
      </c>
      <c r="AD74" s="693"/>
      <c r="AE74" s="694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</row>
    <row r="75" spans="1:94" s="171" customFormat="1" ht="11.25" x14ac:dyDescent="0.2">
      <c r="A75" s="399">
        <v>13</v>
      </c>
      <c r="B75" s="397" t="s">
        <v>75</v>
      </c>
      <c r="C75" s="708" t="s">
        <v>149</v>
      </c>
      <c r="D75" s="709"/>
      <c r="E75" s="710" t="s">
        <v>29</v>
      </c>
      <c r="F75" s="711"/>
      <c r="G75" s="265">
        <v>28</v>
      </c>
      <c r="H75" s="272" t="s">
        <v>97</v>
      </c>
      <c r="I75" s="453" t="s">
        <v>162</v>
      </c>
      <c r="J75" s="453"/>
      <c r="K75" s="453"/>
      <c r="L75" s="453"/>
      <c r="M75" s="661" t="s">
        <v>464</v>
      </c>
      <c r="N75" s="662"/>
      <c r="O75" s="267">
        <v>43</v>
      </c>
      <c r="P75" s="268" t="s">
        <v>92</v>
      </c>
      <c r="Q75" s="456" t="s">
        <v>157</v>
      </c>
      <c r="R75" s="457"/>
      <c r="S75" s="457"/>
      <c r="T75" s="458"/>
      <c r="U75" s="665" t="s">
        <v>89</v>
      </c>
      <c r="V75" s="666"/>
      <c r="W75" s="269">
        <v>58</v>
      </c>
      <c r="X75" s="270" t="s">
        <v>72</v>
      </c>
      <c r="Y75" s="390" t="s">
        <v>146</v>
      </c>
      <c r="Z75" s="391"/>
      <c r="AA75" s="391"/>
      <c r="AB75" s="392"/>
      <c r="AC75" s="692" t="s">
        <v>465</v>
      </c>
      <c r="AD75" s="693"/>
      <c r="AE75" s="694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</row>
    <row r="76" spans="1:94" s="171" customFormat="1" ht="11.25" x14ac:dyDescent="0.2">
      <c r="A76" s="400">
        <v>14</v>
      </c>
      <c r="B76" s="397" t="s">
        <v>76</v>
      </c>
      <c r="C76" s="708" t="s">
        <v>150</v>
      </c>
      <c r="D76" s="709"/>
      <c r="E76" s="710" t="s">
        <v>29</v>
      </c>
      <c r="F76" s="711"/>
      <c r="G76" s="271">
        <v>29</v>
      </c>
      <c r="H76" s="266" t="s">
        <v>100</v>
      </c>
      <c r="I76" s="656" t="s">
        <v>195</v>
      </c>
      <c r="J76" s="657"/>
      <c r="K76" s="657"/>
      <c r="L76" s="658"/>
      <c r="M76" s="661" t="s">
        <v>513</v>
      </c>
      <c r="N76" s="662"/>
      <c r="O76" s="273">
        <v>44</v>
      </c>
      <c r="P76" s="268" t="s">
        <v>220</v>
      </c>
      <c r="Q76" s="456" t="s">
        <v>230</v>
      </c>
      <c r="R76" s="457"/>
      <c r="S76" s="457"/>
      <c r="T76" s="458"/>
      <c r="U76" s="665" t="s">
        <v>89</v>
      </c>
      <c r="V76" s="666"/>
      <c r="W76" s="269">
        <v>59</v>
      </c>
      <c r="X76" s="270" t="s">
        <v>73</v>
      </c>
      <c r="Y76" s="390" t="s">
        <v>145</v>
      </c>
      <c r="Z76" s="391"/>
      <c r="AA76" s="391"/>
      <c r="AB76" s="392"/>
      <c r="AC76" s="692" t="s">
        <v>465</v>
      </c>
      <c r="AD76" s="693"/>
      <c r="AE76" s="694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</row>
    <row r="77" spans="1:94" s="171" customFormat="1" ht="12" thickBot="1" x14ac:dyDescent="0.25">
      <c r="A77" s="401">
        <v>15</v>
      </c>
      <c r="B77" s="402" t="s">
        <v>77</v>
      </c>
      <c r="C77" s="712" t="s">
        <v>151</v>
      </c>
      <c r="D77" s="713"/>
      <c r="E77" s="714" t="s">
        <v>29</v>
      </c>
      <c r="F77" s="715"/>
      <c r="G77" s="403">
        <v>30</v>
      </c>
      <c r="H77" s="404" t="s">
        <v>424</v>
      </c>
      <c r="I77" s="705" t="s">
        <v>510</v>
      </c>
      <c r="J77" s="706"/>
      <c r="K77" s="706"/>
      <c r="L77" s="707"/>
      <c r="M77" s="703" t="s">
        <v>513</v>
      </c>
      <c r="N77" s="704"/>
      <c r="O77" s="405">
        <v>45</v>
      </c>
      <c r="P77" s="406" t="s">
        <v>57</v>
      </c>
      <c r="Q77" s="407" t="s">
        <v>129</v>
      </c>
      <c r="R77" s="408"/>
      <c r="S77" s="408"/>
      <c r="T77" s="409"/>
      <c r="U77" s="701" t="s">
        <v>363</v>
      </c>
      <c r="V77" s="702"/>
      <c r="W77" s="410">
        <v>60</v>
      </c>
      <c r="X77" s="411" t="s">
        <v>74</v>
      </c>
      <c r="Y77" s="412" t="s">
        <v>147</v>
      </c>
      <c r="Z77" s="413"/>
      <c r="AA77" s="413"/>
      <c r="AB77" s="414"/>
      <c r="AC77" s="684" t="s">
        <v>465</v>
      </c>
      <c r="AD77" s="685"/>
      <c r="AE77" s="686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</row>
    <row r="78" spans="1:94" ht="15.75" customHeight="1" thickTop="1" x14ac:dyDescent="0.25">
      <c r="W78" s="683"/>
      <c r="X78" s="683"/>
      <c r="Y78" s="683"/>
      <c r="Z78" s="683"/>
      <c r="AA78" s="683"/>
      <c r="AB78" s="683"/>
      <c r="AC78" s="683"/>
      <c r="AD78" s="683"/>
      <c r="AE78" s="683"/>
    </row>
    <row r="79" spans="1:94" s="91" customFormat="1" ht="11.25" x14ac:dyDescent="0.2">
      <c r="C79" s="91" t="s">
        <v>14</v>
      </c>
      <c r="D79" s="91">
        <f>COUNTIF(D7:D60,"Tt3")</f>
        <v>0</v>
      </c>
      <c r="E79" s="91">
        <f>COUNTIF(E7:E60,"Tt4")</f>
        <v>0</v>
      </c>
      <c r="F79" s="91">
        <f>COUNTIF(F7:F60,"Tt6")</f>
        <v>0</v>
      </c>
      <c r="G79" s="91">
        <f>COUNTIF(G7:G60,"Tt9")</f>
        <v>0</v>
      </c>
      <c r="H79" s="91">
        <f>COUNTIF(H7:H60,"TT1")</f>
        <v>0</v>
      </c>
      <c r="I79" s="91">
        <f>COUNTIF(I7:I60,"Tt7")</f>
        <v>0</v>
      </c>
      <c r="J79" s="91">
        <f>COUNTIF(J7:J60,"TT5")</f>
        <v>0</v>
      </c>
      <c r="K79" s="91">
        <f>COUNTIF(K7:K60,"TT9")</f>
        <v>0</v>
      </c>
      <c r="L79" s="91">
        <f>COUNTIF(L7:L60,"TT2")</f>
        <v>0</v>
      </c>
      <c r="M79" s="91">
        <f>COUNTIF(M7:M60,"TT5")</f>
        <v>0</v>
      </c>
      <c r="N79" s="91">
        <f>COUNTIF(N7:N60,"T3")</f>
        <v>0</v>
      </c>
      <c r="O79" s="91">
        <f>COUNTIF(O7:O60,"Tt6")</f>
        <v>0</v>
      </c>
      <c r="P79" s="100">
        <f>COUNTIF(P7:P60,"TT1")</f>
        <v>6</v>
      </c>
      <c r="Q79" s="91">
        <f>COUNTIF(Q7:Q60,"T4")</f>
        <v>0</v>
      </c>
      <c r="R79" s="91">
        <f>COUNTIF(R7:R60,"T5")</f>
        <v>0</v>
      </c>
      <c r="S79" s="91">
        <f>COUNTIF(S7:S60,"T4")</f>
        <v>4</v>
      </c>
      <c r="T79" s="91">
        <f>COUNTIF(T7:T60,"T2")</f>
        <v>0</v>
      </c>
      <c r="U79" s="91">
        <f>COUNTIF(U7:U60,"T2")</f>
        <v>0</v>
      </c>
      <c r="V79" s="91">
        <f>COUNTIF(V7:V60,"Tt2")</f>
        <v>4</v>
      </c>
      <c r="W79" s="91">
        <f>COUNTIF(W7:W60,"T5")</f>
        <v>5</v>
      </c>
      <c r="X79" s="91">
        <f>COUNTIF(X7:X60,"T2")</f>
        <v>0</v>
      </c>
      <c r="Y79" s="91">
        <f>COUNTIF(Y7:Y60,"Tt3")</f>
        <v>0</v>
      </c>
      <c r="Z79" s="91">
        <f>COUNTIF(Z7:Z60,"T4")</f>
        <v>4</v>
      </c>
      <c r="AA79" s="91">
        <f>COUNTIF(AA7:AA60,"Tt4")</f>
        <v>0</v>
      </c>
      <c r="AB79" s="91">
        <f>COUNTIF(AB7:AB60,"T3")</f>
        <v>0</v>
      </c>
      <c r="AC79" s="91">
        <f>COUNTIF(AC7:AC60,"Tt6")</f>
        <v>0</v>
      </c>
      <c r="AE79" s="91">
        <f>COUNTIF(AE7:AE60,"Tt7")</f>
        <v>0</v>
      </c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</row>
    <row r="80" spans="1:94" s="91" customFormat="1" ht="11.25" x14ac:dyDescent="0.2">
      <c r="C80" s="91" t="s">
        <v>178</v>
      </c>
      <c r="D80" s="91">
        <f>COUNTIF(D7:D60,"LC2")</f>
        <v>2</v>
      </c>
      <c r="E80" s="91">
        <f>COUNTIF(E7:E60,"LC7")</f>
        <v>0</v>
      </c>
      <c r="F80" s="100">
        <f>COUNTIF(F7:F60,"LC4")</f>
        <v>0</v>
      </c>
      <c r="H80" s="100">
        <f>COUNTIF(H7:H60,"LC5")</f>
        <v>0</v>
      </c>
      <c r="I80" s="100">
        <f>COUNTIF(I7:I60,"LC2")</f>
        <v>4</v>
      </c>
      <c r="J80" s="91">
        <f>COUNTIF(J7:J60,"LC7")</f>
        <v>0</v>
      </c>
      <c r="K80" s="100">
        <f>COUNTIF(K7:K60,"LC4")</f>
        <v>0</v>
      </c>
      <c r="L80" s="100">
        <f>COUNTIF(L7:L60,"LC8")</f>
        <v>0</v>
      </c>
      <c r="M80" s="91">
        <f>COUNTIF(M7:M60,"LC8")</f>
        <v>0</v>
      </c>
      <c r="N80" s="100">
        <f>COUNTIF(N7:N60,"LC3")</f>
        <v>0</v>
      </c>
      <c r="O80" s="100">
        <f>COUNTIF(O7:O60,"LC3")</f>
        <v>0</v>
      </c>
      <c r="P80" s="100">
        <f>COUNTIF(P7:P60,"LC2")</f>
        <v>0</v>
      </c>
      <c r="Q80" s="100">
        <f>COUNTIF(Q7:Q60,"LC2")</f>
        <v>0</v>
      </c>
      <c r="R80" s="100">
        <f>COUNTIF(R7:R60,"LC4")</f>
        <v>0</v>
      </c>
      <c r="S80" s="100">
        <f>COUNTIF(S7:S60,"LC4")</f>
        <v>0</v>
      </c>
      <c r="T80" s="100">
        <f>COUNTIF(T7:T60,"LC5")</f>
        <v>0</v>
      </c>
      <c r="U80" s="100">
        <f>COUNTIF(U7:U60,"LC5")</f>
        <v>0</v>
      </c>
      <c r="V80" s="91">
        <f>COUNTIF(V7:V60,"LC6")</f>
        <v>2</v>
      </c>
      <c r="W80" s="91">
        <f>COUNTIF(W7:W60,"LC6")</f>
        <v>0</v>
      </c>
      <c r="X80" s="91">
        <f>COUNTIF(X7:X60,"LC8")</f>
        <v>0</v>
      </c>
      <c r="Y80" s="91">
        <f>COUNTIF(Y7:Y60,"LC8")</f>
        <v>0</v>
      </c>
      <c r="Z80" s="100">
        <f>COUNTIF(Z7:Z60,"LC6")</f>
        <v>0</v>
      </c>
      <c r="AA80" s="100">
        <f>COUNTIF(AA7:AA60,"Lc3")</f>
        <v>0</v>
      </c>
      <c r="AB80" s="91">
        <f>COUNTIF(AB7:AB60,"Lc3")</f>
        <v>0</v>
      </c>
      <c r="AC80" s="91">
        <f>COUNTIF(AC7:AC60,"Lc7")</f>
        <v>5</v>
      </c>
      <c r="AE80" s="91">
        <f>COUNTIF(AE7:AE60,"Lc7")</f>
        <v>4</v>
      </c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</row>
    <row r="81" spans="3:94" s="91" customFormat="1" ht="11.25" x14ac:dyDescent="0.2">
      <c r="C81" s="91" t="s">
        <v>26</v>
      </c>
      <c r="D81" s="91">
        <f>COUNTIF(D7:D60,"H1")</f>
        <v>0</v>
      </c>
      <c r="E81" s="91">
        <f>COUNTIF(E7:E60,"H3")</f>
        <v>0</v>
      </c>
      <c r="F81" s="91">
        <f>COUNTIF(F7:F60,"H4")</f>
        <v>0</v>
      </c>
      <c r="G81" s="91">
        <f>COUNTIF(G7:G60,"H1")</f>
        <v>0</v>
      </c>
      <c r="L81" s="91">
        <f>COUNTIF(L7:L60,"H2")</f>
        <v>0</v>
      </c>
      <c r="M81" s="91">
        <f>COUNTIF(M7:M60,"H4")</f>
        <v>0</v>
      </c>
      <c r="N81" s="91">
        <f>COUNTIF(N7:N60,"H4")</f>
        <v>0</v>
      </c>
      <c r="O81" s="91">
        <f>COUNTIF(O7:O60,"H5")</f>
        <v>0</v>
      </c>
      <c r="P81" s="91">
        <f>COUNTIF(P7:P60,"H5")</f>
        <v>0</v>
      </c>
      <c r="Q81" s="91">
        <f>COUNTIF(Q7:Q60,"H3")</f>
        <v>3</v>
      </c>
      <c r="R81" s="91">
        <f>COUNTIF(R7:R60,"H2")</f>
        <v>0</v>
      </c>
      <c r="S81" s="91">
        <f>COUNTIF(S7:S60,"H5")</f>
        <v>0</v>
      </c>
      <c r="T81" s="91">
        <f>COUNTIF(T7:T60,"H5")</f>
        <v>0</v>
      </c>
      <c r="U81" s="91">
        <f>COUNTIF(U7:U60,"H4")</f>
        <v>0</v>
      </c>
      <c r="V81" s="91">
        <f>COUNTIF(V7:V60,"H2")</f>
        <v>4</v>
      </c>
      <c r="W81" s="91">
        <f>COUNTIF(W7:W60,"H5")</f>
        <v>0</v>
      </c>
      <c r="X81" s="91">
        <f>COUNTIF(X7:X60,"H3")</f>
        <v>0</v>
      </c>
      <c r="Y81" s="91">
        <f>COUNTIF(Y7:Y60,"H3")</f>
        <v>0</v>
      </c>
      <c r="Z81" s="91">
        <f>COUNTIF(Z7:Z60,"H3")</f>
        <v>0</v>
      </c>
      <c r="AA81" s="91">
        <f>COUNTIF(AA7:AA60,"H3")</f>
        <v>0</v>
      </c>
      <c r="AB81" s="91">
        <f>COUNTIF(AB7:AB60,"H5")</f>
        <v>0</v>
      </c>
      <c r="AC81" s="91">
        <f>COUNTIF(AC7:AC60,"H2")</f>
        <v>0</v>
      </c>
      <c r="AE81" s="91">
        <f>COUNTIF(AE7:AE60,"H2")</f>
        <v>0</v>
      </c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</row>
    <row r="82" spans="3:94" s="91" customFormat="1" ht="11.25" x14ac:dyDescent="0.2">
      <c r="C82" s="91" t="s">
        <v>179</v>
      </c>
      <c r="D82" s="91">
        <f>COUNTIF(D7:D60,"sn2")</f>
        <v>2</v>
      </c>
      <c r="E82" s="91">
        <f>COUNTIF(E7:E60,"sn4")</f>
        <v>0</v>
      </c>
      <c r="F82" s="91">
        <f>COUNTIF(F7:F60,"sn4")</f>
        <v>0</v>
      </c>
      <c r="L82" s="91">
        <f>COUNTIF(L7:L60,"sn3")</f>
        <v>0</v>
      </c>
      <c r="M82" s="91">
        <f>COUNTIF(M7:M60,"sn4")</f>
        <v>0</v>
      </c>
      <c r="N82" s="91">
        <f>COUNTIF(N7:N60,"sn4")</f>
        <v>0</v>
      </c>
      <c r="O82" s="91">
        <f>COUNTIF(O7:O60,"sn4")</f>
        <v>0</v>
      </c>
      <c r="P82" s="91">
        <f>COUNTIF(P7:P60,"sn2")</f>
        <v>0</v>
      </c>
      <c r="Q82" s="91">
        <f>COUNTIF(Q7:Q60,"sn4")</f>
        <v>0</v>
      </c>
      <c r="R82" s="91">
        <f>COUNTIF(R7:R60,"sn2")</f>
        <v>0</v>
      </c>
      <c r="S82" s="100">
        <f>COUNTIF(S7:S60,"sn2")</f>
        <v>0</v>
      </c>
      <c r="T82" s="100">
        <f>COUNTIF(T7:T60,"sn3")</f>
        <v>3</v>
      </c>
      <c r="U82" s="100">
        <f>COUNTIF(U7:U60,"sn4")</f>
        <v>0</v>
      </c>
      <c r="V82" s="91">
        <f>COUNTIF(V7:V60,"sn1")</f>
        <v>0</v>
      </c>
      <c r="W82" s="91">
        <f>COUNTIF(W7:W60,"sn3")</f>
        <v>0</v>
      </c>
      <c r="X82" s="91">
        <f>COUNTIF(X7:X60,"sn3")</f>
        <v>0</v>
      </c>
      <c r="Y82" s="91">
        <f>COUNTIF(Y7:Y60,"sn2")</f>
        <v>0</v>
      </c>
      <c r="Z82" s="91">
        <f>COUNTIF(Z7:Z60,"sn3")</f>
        <v>0</v>
      </c>
      <c r="AA82" s="91">
        <f>COUNTIF(AA7:AA60,"sn4")</f>
        <v>0</v>
      </c>
      <c r="AB82" s="91">
        <f>COUNTIF(AB7:AB60,"sn4")</f>
        <v>0</v>
      </c>
      <c r="AC82" s="91">
        <f>COUNTIF(AC7:AC60,"sn2")</f>
        <v>0</v>
      </c>
      <c r="AE82" s="91">
        <f>COUNTIF(AE7:AE60,"sn2")</f>
        <v>0</v>
      </c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</row>
    <row r="83" spans="3:94" s="91" customFormat="1" ht="11.25" x14ac:dyDescent="0.2">
      <c r="C83" s="91" t="s">
        <v>22</v>
      </c>
      <c r="D83" s="91">
        <f>COUNTIF(D7:D60,"tn3")</f>
        <v>0</v>
      </c>
      <c r="E83" s="91">
        <f>COUNTIF(E7:E60,"tn4")</f>
        <v>0</v>
      </c>
      <c r="G83" s="91">
        <f>COUNTIF(G7:G60,"tn4")</f>
        <v>0</v>
      </c>
      <c r="H83" s="91">
        <f>COUNTIF(H7:H60,"tn4")</f>
        <v>0</v>
      </c>
      <c r="I83" s="91">
        <f>COUNTIF(I7:I60,"tn4")</f>
        <v>0</v>
      </c>
      <c r="J83" s="91">
        <f>COUNTIF(J7:J60,"tn3")</f>
        <v>0</v>
      </c>
      <c r="L83" s="186">
        <f>COUNTIF(L7:L60,"tt3")</f>
        <v>0</v>
      </c>
      <c r="M83" s="91">
        <f>COUNTIF(M7:M60,"tT2")</f>
        <v>0</v>
      </c>
      <c r="N83" s="91">
        <f>COUNTIF(N7:N31,"Tt5")</f>
        <v>0</v>
      </c>
      <c r="P83" s="100">
        <f>COUNTIF(P7:P60,"TT6")</f>
        <v>0</v>
      </c>
      <c r="Q83" s="91">
        <f>COUNTIF(Q7:Q60,"TN4")</f>
        <v>0</v>
      </c>
      <c r="R83" s="91">
        <f>COUNTIF(R7:R60,"TT3")</f>
        <v>0</v>
      </c>
      <c r="S83" s="91">
        <f>COUNTIF(S7:S60,"Tt1")</f>
        <v>0</v>
      </c>
      <c r="T83" s="91">
        <f>COUNTIF(T7:T60,"tT9")</f>
        <v>0</v>
      </c>
      <c r="U83" s="91">
        <f>COUNTIF(U7:U60,"Tt7")</f>
        <v>0</v>
      </c>
      <c r="V83" s="91">
        <f>COUNTIF(V7:V60,"TN3")</f>
        <v>0</v>
      </c>
      <c r="W83" s="91">
        <f>COUNTIF(W7:W60,"tn3")</f>
        <v>0</v>
      </c>
      <c r="X83" s="91">
        <f>COUNTIF(X7:X60,"tn4")</f>
        <v>0</v>
      </c>
      <c r="Y83" s="91">
        <f>COUNTIF(Y7:Y60,"tn4")</f>
        <v>2</v>
      </c>
      <c r="Z83" s="91">
        <f>COUNTIF(Z7:Z60,"tn3")</f>
        <v>0</v>
      </c>
      <c r="AA83" s="91">
        <f>COUNTIF(AA7:AA60,"tn3")</f>
        <v>0</v>
      </c>
      <c r="AB83" s="91">
        <f>COUNTIF(AB7:AB60,"tn3")</f>
        <v>0</v>
      </c>
      <c r="AC83" s="91">
        <f>COUNTIF(AC7:AC60,"tn3")</f>
        <v>0</v>
      </c>
      <c r="AE83" s="91">
        <f>COUNTIF(AE7:AE60,"tn3")</f>
        <v>0</v>
      </c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</row>
    <row r="84" spans="3:94" s="91" customFormat="1" ht="11.25" x14ac:dyDescent="0.2">
      <c r="C84" s="91" t="s">
        <v>28</v>
      </c>
      <c r="G84" s="91">
        <f>COUNTIF(G7:G60,"lc7")</f>
        <v>0</v>
      </c>
      <c r="H84" s="100">
        <f>COUNTIF(H7:H60,"sn")</f>
        <v>0</v>
      </c>
      <c r="I84" s="91">
        <f>COUNTIF(I7:I60,"sn")</f>
        <v>0</v>
      </c>
      <c r="J84" s="91">
        <f>COUNTIF(J7:J60,"sn")</f>
        <v>0</v>
      </c>
      <c r="K84" s="91">
        <f>COUNTIF(K7:K60,"sn")</f>
        <v>0</v>
      </c>
      <c r="L84" s="100">
        <f>COUNTIF(L7:L60,"sn")</f>
        <v>0</v>
      </c>
      <c r="M84" s="91">
        <f>COUNTIF(M7:M60,"lc7")</f>
        <v>0</v>
      </c>
      <c r="N84" s="100">
        <f>COUNTIF(N7:N60,"lc7")</f>
        <v>0</v>
      </c>
      <c r="O84" s="100">
        <f>COUNTIF(O7:O60,"lc4")</f>
        <v>3</v>
      </c>
      <c r="P84" s="100">
        <f>COUNTIF(P7:P60,"lc6")</f>
        <v>0</v>
      </c>
      <c r="Q84" s="100">
        <f>COUNTIF(Q7:Q60,"lc4")</f>
        <v>0</v>
      </c>
      <c r="R84" s="91">
        <f>COUNTIF(R7:R60,"lS834")</f>
        <v>0</v>
      </c>
      <c r="S84" s="91">
        <f>COUNTIF(S7:S60,"lc4")</f>
        <v>0</v>
      </c>
      <c r="T84" s="91">
        <f>COUNTIF(T7:T60,"lc4")</f>
        <v>0</v>
      </c>
      <c r="U84" s="91">
        <f>COUNTIF(U7:U60,"lc6")</f>
        <v>0</v>
      </c>
      <c r="V84" s="91">
        <f>COUNTIF(V7:V60,"lc4")</f>
        <v>0</v>
      </c>
      <c r="W84" s="91">
        <f>COUNTIF(W7:W60,"lc4")</f>
        <v>0</v>
      </c>
      <c r="X84" s="91">
        <f>COUNTIF(X7:X60,"LC6")</f>
        <v>4</v>
      </c>
      <c r="Y84" s="91">
        <f>COUNTIF(Y7:Y60,"LC7")</f>
        <v>2</v>
      </c>
      <c r="Z84" s="100">
        <f>COUNTIF(Z7:Z60,"LC7")</f>
        <v>0</v>
      </c>
      <c r="AA84" s="100">
        <f>COUNTIF(AA7:AA60,"LC7")</f>
        <v>5</v>
      </c>
      <c r="AB84" s="91">
        <f>COUNTIF(AB7:AB60,"LC7")</f>
        <v>0</v>
      </c>
      <c r="AC84" s="91">
        <f>COUNTIF(AC7:AC60,"LADC7")</f>
        <v>0</v>
      </c>
      <c r="AE84" s="91">
        <f>COUNTIF(AE7:AE60,"LC7")</f>
        <v>4</v>
      </c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</row>
    <row r="85" spans="3:94" s="91" customFormat="1" ht="11.25" x14ac:dyDescent="0.2">
      <c r="C85" s="91" t="s">
        <v>186</v>
      </c>
      <c r="D85" s="100">
        <f>COUNTIF(D7:D60,"v3")</f>
        <v>0</v>
      </c>
      <c r="E85" s="91">
        <f>COUNTIF(E7:E60,"v2")</f>
        <v>0</v>
      </c>
      <c r="F85" s="91">
        <f>COUNTIF(F7:F60,"v9")</f>
        <v>0</v>
      </c>
      <c r="G85" s="91">
        <f>COUNTIF(G7:G60,"v9")</f>
        <v>0</v>
      </c>
      <c r="H85" s="91">
        <f>COUNTIF(H7:H60,"v9")</f>
        <v>0</v>
      </c>
      <c r="I85" s="91">
        <f>COUNTIF(I7:I60,"v2")</f>
        <v>0</v>
      </c>
      <c r="J85" s="91">
        <f>COUNTIF(J7:J60,"v3")</f>
        <v>0</v>
      </c>
      <c r="K85" s="91">
        <f>COUNTIF(K7:K60,"v2")</f>
        <v>0</v>
      </c>
      <c r="L85" s="91">
        <f>COUNTIF(L7:L60,"v8")</f>
        <v>0</v>
      </c>
      <c r="M85" s="91">
        <f>COUNTIF(M7:M60,"v6")</f>
        <v>0</v>
      </c>
      <c r="N85" s="91">
        <f>COUNTIF(N7:N60,"v8")</f>
        <v>0</v>
      </c>
      <c r="O85" s="91">
        <f>COUNTIF(O7:O60,"v6")</f>
        <v>3</v>
      </c>
      <c r="P85" s="91">
        <f>COUNTIF(P7:P60,"v6")</f>
        <v>0</v>
      </c>
      <c r="Q85" s="91">
        <f>COUNTIF(Q7:Q60,"v5")</f>
        <v>0</v>
      </c>
      <c r="R85" s="91">
        <f>COUNTIF(R7:R60,"v9")</f>
        <v>3</v>
      </c>
      <c r="S85" s="91">
        <f>COUNTIF(S7:S60,"v7")</f>
        <v>0</v>
      </c>
      <c r="T85" s="91">
        <f>COUNTIF(T7:T60,"v5")</f>
        <v>0</v>
      </c>
      <c r="U85" s="91">
        <f>COUNTIF(U7:U60,"v9")</f>
        <v>0</v>
      </c>
      <c r="V85" s="91">
        <f>COUNTIF(V7:V60,"v3")</f>
        <v>1</v>
      </c>
      <c r="W85" s="91">
        <f>COUNTIF(W7:W60,"v7")</f>
        <v>0</v>
      </c>
      <c r="X85" s="91">
        <f>COUNTIF(X7:X60,"v2")</f>
        <v>0</v>
      </c>
      <c r="Y85" s="91">
        <f>COUNTIF(Y7:Y60,"v7")+COUNTIF(Y7:Y60,"v4")</f>
        <v>0</v>
      </c>
      <c r="Z85" s="91">
        <f>COUNTIF(Z7:Z60,"v6")</f>
        <v>0</v>
      </c>
      <c r="AA85" s="91">
        <f>COUNTIF(AA7:AA60,"v1")</f>
        <v>0</v>
      </c>
      <c r="AB85" s="91">
        <f>COUNTIF(AB7:AB60,"v8")</f>
        <v>0</v>
      </c>
      <c r="AC85" s="91">
        <f>COUNTIF(AC7:AC60,"v3")</f>
        <v>0</v>
      </c>
      <c r="AE85" s="91">
        <f>COUNTIF(AE7:AE60,"v5")</f>
        <v>0</v>
      </c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</row>
    <row r="86" spans="3:94" s="91" customFormat="1" ht="11.25" x14ac:dyDescent="0.2">
      <c r="C86" s="91" t="s">
        <v>187</v>
      </c>
      <c r="D86" s="91">
        <f>COUNTIF(D7:D60,"sg1")</f>
        <v>0</v>
      </c>
      <c r="E86" s="91">
        <f>COUNTIF(E7:E60,"sg3")</f>
        <v>3</v>
      </c>
      <c r="F86" s="91">
        <f>COUNTIF(F7:F60,"sg1")</f>
        <v>0</v>
      </c>
      <c r="G86" s="91">
        <f>COUNTIF(G7:G60,"sg2")</f>
        <v>0</v>
      </c>
      <c r="H86" s="91">
        <f>COUNTIF(H7:H60,"sg2")</f>
        <v>0</v>
      </c>
      <c r="I86" s="91">
        <f>COUNTIF(I7:I60,"sg3")</f>
        <v>0</v>
      </c>
      <c r="J86" s="91">
        <f>COUNTIF(J7:J60,"sg3")</f>
        <v>2</v>
      </c>
      <c r="K86" s="91">
        <f>COUNTIF(K7:K60,"sg2")</f>
        <v>0</v>
      </c>
      <c r="L86" s="91">
        <f>COUNTIF(L7:L60,"sg3")</f>
        <v>0</v>
      </c>
      <c r="M86" s="91">
        <f>COUNTIF(M7:M60,"sg1")</f>
        <v>0</v>
      </c>
      <c r="N86" s="91">
        <f>COUNTIF(N7:N60,"sg1")</f>
        <v>0</v>
      </c>
      <c r="O86" s="91">
        <f>COUNTIF(O7:O60,"sg1")</f>
        <v>1</v>
      </c>
      <c r="P86" s="91">
        <f>COUNTIF(P7:P60,"sg3")</f>
        <v>0</v>
      </c>
      <c r="Q86" s="91">
        <f>COUNTIF(Q7:Q60,"sg1")</f>
        <v>0</v>
      </c>
      <c r="R86" s="91">
        <f>COUNTIF(R7:R60,"sg3")</f>
        <v>0</v>
      </c>
      <c r="S86" s="91">
        <f>COUNTIF(S7:S60,"sg3")</f>
        <v>0</v>
      </c>
      <c r="T86" s="91">
        <f>COUNTIF(T7:T60,"sg3")</f>
        <v>0</v>
      </c>
      <c r="U86" s="91">
        <f>COUNTIF(U7:U60,"sg3")</f>
        <v>0</v>
      </c>
      <c r="V86" s="91">
        <f>COUNTIF(V7:V60,"sg2")</f>
        <v>2</v>
      </c>
      <c r="W86" s="91">
        <f>COUNTIF(W7:W60,"sg1")</f>
        <v>2</v>
      </c>
      <c r="X86" s="91">
        <f>COUNTIF(X7:X60,"sg3")</f>
        <v>2</v>
      </c>
      <c r="Y86" s="91">
        <f>COUNTIF(Y7:Y60,"sg2")</f>
        <v>0</v>
      </c>
      <c r="Z86" s="91">
        <f>COUNTIF(Z7:Z60,"sg1")</f>
        <v>0</v>
      </c>
      <c r="AA86" s="91">
        <f>COUNTIF(AA7:AA60,"sg2")</f>
        <v>0</v>
      </c>
      <c r="AB86" s="91">
        <f>COUNTIF(AB7:AB60,"sg1")</f>
        <v>0</v>
      </c>
      <c r="AC86" s="91">
        <f>COUNTIF(AC7:AC60,"sg3")</f>
        <v>0</v>
      </c>
      <c r="AE86" s="91">
        <f>COUNTIF(AE7:AE60,"sg3")</f>
        <v>0</v>
      </c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  <c r="CN86" s="133"/>
      <c r="CO86" s="133"/>
      <c r="CP86" s="133"/>
    </row>
    <row r="87" spans="3:94" s="91" customFormat="1" ht="11.25" x14ac:dyDescent="0.2">
      <c r="C87" s="91" t="s">
        <v>32</v>
      </c>
      <c r="H87" s="100">
        <f>COUNTIF(H7:H60,"d3")</f>
        <v>0</v>
      </c>
      <c r="I87" s="100">
        <f>COUNTIF(I7:I60,"d3")</f>
        <v>0</v>
      </c>
      <c r="J87" s="100">
        <f>COUNTIF(J7:J60,"d2")</f>
        <v>0</v>
      </c>
      <c r="K87" s="91">
        <f>COUNTIF(K7:K60,"d2")</f>
        <v>0</v>
      </c>
      <c r="L87" s="91">
        <f t="shared" ref="L87:Q87" si="136">COUNTIF(L7:L60,"d4")</f>
        <v>3</v>
      </c>
      <c r="M87" s="91">
        <f t="shared" si="136"/>
        <v>0</v>
      </c>
      <c r="N87" s="91">
        <f t="shared" si="136"/>
        <v>0</v>
      </c>
      <c r="O87" s="91">
        <f t="shared" si="136"/>
        <v>3</v>
      </c>
      <c r="P87" s="91">
        <f t="shared" si="136"/>
        <v>0</v>
      </c>
      <c r="Q87" s="91">
        <f t="shared" si="136"/>
        <v>0</v>
      </c>
      <c r="R87" s="91">
        <f>COUNTIF(R7:R60,"d5")</f>
        <v>0</v>
      </c>
      <c r="S87" s="91">
        <f>COUNTIF(S7:S60,"d5")</f>
        <v>0</v>
      </c>
      <c r="T87" s="91">
        <f>COUNTIF(T7:T60,"d5")</f>
        <v>0</v>
      </c>
      <c r="U87" s="91">
        <f>COUNTIF(U7:U60,"d5")</f>
        <v>0</v>
      </c>
      <c r="V87" s="91">
        <f>COUNTIF(V7:V60,"d5")</f>
        <v>0</v>
      </c>
      <c r="W87" s="91">
        <f>COUNTIF(W7:W60,"d4")</f>
        <v>0</v>
      </c>
      <c r="X87" s="91">
        <f>COUNTIF(X7:X60,"d3")</f>
        <v>0</v>
      </c>
      <c r="Y87" s="91">
        <f>COUNTIF(Y7:Y60,"d5")</f>
        <v>0</v>
      </c>
      <c r="Z87" s="91">
        <f>COUNTIF(Z7:Z60,"d3")</f>
        <v>0</v>
      </c>
      <c r="AA87" s="91">
        <f>COUNTIF(AA7:AA60,"d4")</f>
        <v>0</v>
      </c>
      <c r="AB87" s="91">
        <f>COUNTIF(AB7:AB60,"d4")</f>
        <v>0</v>
      </c>
      <c r="AC87" s="91">
        <f>COUNTIF(AC7:AC60,"d5")</f>
        <v>0</v>
      </c>
      <c r="AE87" s="91">
        <f>COUNTIF(AE7:AE60,"d5")</f>
        <v>0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</row>
    <row r="88" spans="3:94" s="91" customFormat="1" ht="11.25" x14ac:dyDescent="0.2">
      <c r="C88" s="91" t="s">
        <v>5</v>
      </c>
      <c r="G88" s="100">
        <f>COUNTIF(G7:G60,"g2")</f>
        <v>0</v>
      </c>
      <c r="J88" s="91">
        <f>COUNTIF(J7:J60,"g2")</f>
        <v>0</v>
      </c>
      <c r="K88" s="91">
        <f>COUNTIF(K7:K60,"g2")</f>
        <v>0</v>
      </c>
      <c r="M88" s="91">
        <f>COUNTIF(M7:M60,"g2")</f>
        <v>0</v>
      </c>
      <c r="N88" s="91">
        <f>COUNTIF(N7:N60,"g2")</f>
        <v>0</v>
      </c>
      <c r="P88" s="91">
        <f>COUNTIF(P7:P60,"g1")</f>
        <v>0</v>
      </c>
      <c r="Q88" s="91">
        <f>COUNTIF(Q7:Q60,"g1")</f>
        <v>0</v>
      </c>
      <c r="R88" s="91">
        <f t="shared" ref="R88:AC88" si="137">COUNTIF(R7:R60,"g2")</f>
        <v>0</v>
      </c>
      <c r="S88" s="91">
        <f t="shared" si="137"/>
        <v>0</v>
      </c>
      <c r="T88" s="91">
        <f t="shared" si="137"/>
        <v>0</v>
      </c>
      <c r="U88" s="91">
        <f t="shared" si="137"/>
        <v>0</v>
      </c>
      <c r="V88" s="91">
        <f t="shared" si="137"/>
        <v>0</v>
      </c>
      <c r="W88" s="91">
        <f t="shared" si="137"/>
        <v>0</v>
      </c>
      <c r="X88" s="91">
        <f t="shared" si="137"/>
        <v>0</v>
      </c>
      <c r="Y88" s="91">
        <f t="shared" si="137"/>
        <v>2</v>
      </c>
      <c r="Z88" s="91">
        <f t="shared" si="137"/>
        <v>2</v>
      </c>
      <c r="AA88" s="91">
        <f t="shared" si="137"/>
        <v>0</v>
      </c>
      <c r="AB88" s="91">
        <f t="shared" si="137"/>
        <v>0</v>
      </c>
      <c r="AC88" s="91">
        <f t="shared" si="137"/>
        <v>0</v>
      </c>
      <c r="AE88" s="91">
        <f>COUNTIF(AE7:AE60,"g2")</f>
        <v>2</v>
      </c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</row>
    <row r="89" spans="3:94" s="91" customFormat="1" ht="11.25" x14ac:dyDescent="0.2">
      <c r="C89" s="91" t="s">
        <v>457</v>
      </c>
      <c r="D89" s="91">
        <f>COUNTIF(D7:D60,"a1")</f>
        <v>0</v>
      </c>
      <c r="E89" s="91">
        <f>COUNTIF(E7:E60,"a3")</f>
        <v>0</v>
      </c>
      <c r="F89" s="91">
        <f>COUNTIF(F7:F60,"a6")</f>
        <v>0</v>
      </c>
      <c r="G89" s="91">
        <f>COUNTIF(G7:G60,"a2")</f>
        <v>0</v>
      </c>
      <c r="H89" s="91">
        <f>COUNTIF(H7:H60,"a4")</f>
        <v>0</v>
      </c>
      <c r="I89" s="91">
        <f>COUNTIF(I7:I60,"a6")</f>
        <v>0</v>
      </c>
      <c r="J89" s="91">
        <f>COUNTIF(J7:J60,"a5")</f>
        <v>3</v>
      </c>
      <c r="K89" s="100">
        <f>COUNTIF(K7:K60,"a4")</f>
        <v>0</v>
      </c>
      <c r="L89" s="91">
        <f>COUNTIF(L7:L60,"a6")</f>
        <v>0</v>
      </c>
      <c r="M89" s="91">
        <f>COUNTIF(M7:M60,"a2")</f>
        <v>0</v>
      </c>
      <c r="N89" s="91">
        <f>COUNTIF(N7:N60,"a5")</f>
        <v>0</v>
      </c>
      <c r="O89" s="91">
        <f>COUNTIF(O7:O60,"a4")</f>
        <v>3</v>
      </c>
      <c r="P89" s="91">
        <f>COUNTIF(P7:P60,"a4")</f>
        <v>0</v>
      </c>
      <c r="Q89" s="91">
        <f>COUNTIF(Q7:Q60,"a4")</f>
        <v>0</v>
      </c>
      <c r="R89" s="91">
        <f>COUNTIF(R7:R60,"a3")</f>
        <v>0</v>
      </c>
      <c r="S89" s="91">
        <f>COUNTIF(S7:S60,"a1")</f>
        <v>0</v>
      </c>
      <c r="T89" s="91">
        <f>COUNTIF(T7:T60,"a1")</f>
        <v>0</v>
      </c>
      <c r="U89" s="91">
        <f>COUNTIF(U7:U60,"a2")</f>
        <v>0</v>
      </c>
      <c r="V89" s="91">
        <f>COUNTIF(V7:V60,"a3")</f>
        <v>0</v>
      </c>
      <c r="W89" s="91">
        <f>COUNTIF(W7:W60,"a5")</f>
        <v>0</v>
      </c>
      <c r="X89" s="91">
        <f>COUNTIF(X7:X60,"a6")</f>
        <v>0</v>
      </c>
      <c r="Y89" s="91">
        <f>COUNTIF(Y7:Y60,"a2")</f>
        <v>0</v>
      </c>
      <c r="Z89" s="91">
        <f>COUNTIF(Z7:Z60,"a3")</f>
        <v>0</v>
      </c>
      <c r="AA89" s="91">
        <f>COUNTIF(AA7:AA60,"a3")</f>
        <v>0</v>
      </c>
      <c r="AB89" s="91">
        <f>COUNTIF(AB7:AB60,"a5")</f>
        <v>0</v>
      </c>
      <c r="AC89" s="91">
        <f>COUNTIF(AC7:AC60,"a5")</f>
        <v>0</v>
      </c>
      <c r="AE89" s="91">
        <f>COUNTIF(AE7:AE60,"a1")</f>
        <v>0</v>
      </c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</row>
    <row r="90" spans="3:94" s="91" customFormat="1" ht="11.25" x14ac:dyDescent="0.2">
      <c r="C90" s="91" t="s">
        <v>34</v>
      </c>
      <c r="D90" s="91">
        <f>COUNTIF(D7:D60,"tq4")</f>
        <v>2</v>
      </c>
      <c r="E90" s="91">
        <f>COUNTIF(E7:E60,"tq4")</f>
        <v>2</v>
      </c>
      <c r="F90" s="91">
        <f>COUNTIF(F7:F60,"tq4")</f>
        <v>3</v>
      </c>
      <c r="G90" s="91">
        <f>COUNTIF(G7:G60,"tq1")</f>
        <v>0</v>
      </c>
      <c r="H90" s="91">
        <f>COUNTIF(H7:H60,"tq1")</f>
        <v>0</v>
      </c>
      <c r="I90" s="91">
        <f>COUNTIF(I7:I60,"tq1")</f>
        <v>0</v>
      </c>
      <c r="J90" s="100">
        <f>COUNTIF(J7:J60,"tq4")</f>
        <v>0</v>
      </c>
      <c r="K90" s="100">
        <f>COUNTIF(K7:K60,"tq4")</f>
        <v>0</v>
      </c>
      <c r="L90" s="91">
        <f>COUNTIF(L7:L60,"tq4")</f>
        <v>0</v>
      </c>
      <c r="M90" s="91">
        <f>COUNTIF(M7:M60,"tq4")</f>
        <v>0</v>
      </c>
      <c r="N90" s="91">
        <f>COUNTIF(N7:N60,"tq4")</f>
        <v>0</v>
      </c>
      <c r="O90" s="91">
        <f>COUNTIF(O7:O60,"tq1")</f>
        <v>0</v>
      </c>
      <c r="P90" s="91">
        <f>COUNTIF(P7:P60,"tq1")</f>
        <v>0</v>
      </c>
      <c r="Q90" s="91">
        <f>COUNTIF(Q7:Q60,"tq1")</f>
        <v>0</v>
      </c>
      <c r="R90" s="91">
        <f>COUNTIF(R7:R60,"tq1")</f>
        <v>1</v>
      </c>
      <c r="S90" s="91">
        <f>COUNTIF(S7:S60,"tq4")</f>
        <v>0</v>
      </c>
      <c r="T90" s="100">
        <f>COUNTIF(T7:T60,"tq3")</f>
        <v>3</v>
      </c>
      <c r="U90" s="100">
        <f>COUNTIF(U7:U60,"tq3")</f>
        <v>3</v>
      </c>
      <c r="V90" s="91">
        <f>COUNTIF(V7:V60,"tq4")</f>
        <v>2</v>
      </c>
      <c r="W90" s="91">
        <f>COUNTIF(W7:W60,"tq4")</f>
        <v>2</v>
      </c>
      <c r="X90" s="91">
        <f>COUNTIF(X7:X60,"tq4")</f>
        <v>0</v>
      </c>
      <c r="Y90" s="91">
        <f>COUNTIF(Y7:Y60,"tq4")</f>
        <v>0</v>
      </c>
      <c r="Z90" s="91">
        <f>COUNTIF(Z7:Z60,"tq3")</f>
        <v>0</v>
      </c>
      <c r="AA90" s="91">
        <f>COUNTIF(AA7:AA60,"tq3")</f>
        <v>0</v>
      </c>
      <c r="AB90" s="91">
        <f>COUNTIF(AB7:AB60,"tq3")</f>
        <v>0</v>
      </c>
      <c r="AC90" s="91">
        <f>COUNTIF(AC7:AC60,"tq3")</f>
        <v>0</v>
      </c>
      <c r="AE90" s="91">
        <f>COUNTIF(AE7:AE60,"tq3")</f>
        <v>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</row>
    <row r="91" spans="3:94" s="91" customFormat="1" ht="11.25" x14ac:dyDescent="0.2">
      <c r="C91" s="91" t="s">
        <v>277</v>
      </c>
      <c r="D91" s="91">
        <f>COUNTIF(D7:D60,"q1")</f>
        <v>0</v>
      </c>
      <c r="E91" s="91">
        <f>COUNTIF(E7:E60,"q1")</f>
        <v>0</v>
      </c>
      <c r="F91" s="91">
        <f>COUNTIF(F7:F60,"q1")</f>
        <v>0</v>
      </c>
      <c r="G91" s="91">
        <f>COUNTIF(G7:G60,"q2")</f>
        <v>0</v>
      </c>
      <c r="H91" s="91">
        <f>COUNTIF(H7:H60,"q2")</f>
        <v>0</v>
      </c>
      <c r="I91" s="91">
        <f>COUNTIF(I7:I60,"q2")</f>
        <v>0</v>
      </c>
      <c r="J91" s="91">
        <f>COUNTIF(J7:J60,"TQ1")</f>
        <v>0</v>
      </c>
      <c r="K91" s="91">
        <f>COUNTIF(K7:K60,"TQ1")</f>
        <v>0</v>
      </c>
      <c r="L91" s="91">
        <f t="shared" ref="L91:R91" si="138">COUNTIF(L7:L60,"q2")</f>
        <v>0</v>
      </c>
      <c r="M91" s="91">
        <f t="shared" si="138"/>
        <v>0</v>
      </c>
      <c r="N91" s="91">
        <f t="shared" si="138"/>
        <v>0</v>
      </c>
      <c r="O91" s="91">
        <f t="shared" si="138"/>
        <v>0</v>
      </c>
      <c r="P91" s="91">
        <f t="shared" si="138"/>
        <v>0</v>
      </c>
      <c r="Q91" s="91">
        <f t="shared" si="138"/>
        <v>0</v>
      </c>
      <c r="R91" s="91">
        <f t="shared" si="138"/>
        <v>0</v>
      </c>
      <c r="S91" s="91">
        <f>COUNTIF(S7:S60,"tq3")</f>
        <v>2</v>
      </c>
      <c r="T91" s="100">
        <f t="shared" ref="T91:Y91" si="139">COUNTIF(T7:T60,"q2")</f>
        <v>0</v>
      </c>
      <c r="U91" s="100">
        <f t="shared" si="139"/>
        <v>0</v>
      </c>
      <c r="V91" s="91">
        <f t="shared" si="139"/>
        <v>0</v>
      </c>
      <c r="W91" s="91">
        <f t="shared" si="139"/>
        <v>0</v>
      </c>
      <c r="X91" s="91">
        <f t="shared" si="139"/>
        <v>1</v>
      </c>
      <c r="Y91" s="91">
        <f t="shared" si="139"/>
        <v>1</v>
      </c>
      <c r="Z91" s="91">
        <f>COUNTIF(Z7:Z60,"q1")</f>
        <v>0</v>
      </c>
      <c r="AA91" s="91">
        <f>COUNTIF(AA7:AA60,"Q1")</f>
        <v>0</v>
      </c>
      <c r="AB91" s="91">
        <f>COUNTIF(AB7:AB60,"Q1")</f>
        <v>0</v>
      </c>
      <c r="AC91" s="91">
        <f>COUNTIF(AC7:AC60,"Q1")</f>
        <v>0</v>
      </c>
      <c r="AE91" s="91">
        <f>COUNTIF(AE7:AE60,"Q1")</f>
        <v>0</v>
      </c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</row>
    <row r="92" spans="3:94" s="91" customFormat="1" ht="11.25" x14ac:dyDescent="0.2">
      <c r="C92" s="91" t="s">
        <v>37</v>
      </c>
      <c r="L92" s="91">
        <f>COUNTIF(L7:L60,"tt7")</f>
        <v>0</v>
      </c>
      <c r="M92" s="91">
        <f>COUNTIF(M7:M60,"tt6")</f>
        <v>0</v>
      </c>
      <c r="N92" s="91">
        <f>COUNTIF(N40:N59,"tt5")</f>
        <v>0</v>
      </c>
      <c r="O92" s="91">
        <f>COUNTIF(O7:O60,"tt4")</f>
        <v>0</v>
      </c>
      <c r="P92" s="91">
        <f>COUNTIF(P7:P60,"tt9")</f>
        <v>0</v>
      </c>
      <c r="Q92" s="91">
        <f>COUNTIF(Q7:Q60,"tt1")</f>
        <v>0</v>
      </c>
      <c r="R92" s="91">
        <f>COUNTIF(R7:R60,"tt1")</f>
        <v>4</v>
      </c>
      <c r="S92" s="100">
        <f>COUNTIF(S7:S60,"tt")</f>
        <v>0</v>
      </c>
      <c r="T92" s="100">
        <f>COUNTIF(T7:T60,"tt1")</f>
        <v>0</v>
      </c>
      <c r="U92" s="100">
        <f>COUNTIF(U7:U60,"tt1")</f>
        <v>0</v>
      </c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</row>
    <row r="93" spans="3:94" s="91" customFormat="1" ht="11.25" x14ac:dyDescent="0.2">
      <c r="D93" s="101">
        <f>SUM(D79:D92)</f>
        <v>6</v>
      </c>
      <c r="E93" s="101">
        <f t="shared" ref="E93:AE93" si="140">SUM(E79:E92)</f>
        <v>5</v>
      </c>
      <c r="F93" s="101">
        <f t="shared" si="140"/>
        <v>3</v>
      </c>
      <c r="G93" s="101">
        <f t="shared" si="140"/>
        <v>0</v>
      </c>
      <c r="H93" s="101">
        <f t="shared" si="140"/>
        <v>0</v>
      </c>
      <c r="I93" s="101">
        <f t="shared" si="140"/>
        <v>4</v>
      </c>
      <c r="J93" s="101">
        <f t="shared" si="140"/>
        <v>5</v>
      </c>
      <c r="K93" s="101">
        <f t="shared" si="140"/>
        <v>0</v>
      </c>
      <c r="L93" s="101">
        <f t="shared" si="140"/>
        <v>3</v>
      </c>
      <c r="M93" s="101">
        <f t="shared" si="140"/>
        <v>0</v>
      </c>
      <c r="N93" s="101">
        <f t="shared" si="140"/>
        <v>0</v>
      </c>
      <c r="O93" s="101">
        <f t="shared" si="140"/>
        <v>13</v>
      </c>
      <c r="P93" s="101">
        <f t="shared" si="140"/>
        <v>6</v>
      </c>
      <c r="Q93" s="101">
        <f t="shared" si="140"/>
        <v>3</v>
      </c>
      <c r="R93" s="101">
        <f t="shared" si="140"/>
        <v>8</v>
      </c>
      <c r="S93" s="101">
        <f t="shared" si="140"/>
        <v>6</v>
      </c>
      <c r="T93" s="101">
        <f t="shared" si="140"/>
        <v>6</v>
      </c>
      <c r="U93" s="101">
        <f t="shared" si="140"/>
        <v>3</v>
      </c>
      <c r="V93" s="101">
        <f t="shared" si="140"/>
        <v>15</v>
      </c>
      <c r="W93" s="101">
        <f t="shared" si="140"/>
        <v>9</v>
      </c>
      <c r="X93" s="101">
        <f t="shared" si="140"/>
        <v>7</v>
      </c>
      <c r="Y93" s="101">
        <f t="shared" si="140"/>
        <v>7</v>
      </c>
      <c r="Z93" s="101">
        <f t="shared" si="140"/>
        <v>6</v>
      </c>
      <c r="AA93" s="101">
        <f t="shared" si="140"/>
        <v>5</v>
      </c>
      <c r="AB93" s="101">
        <f t="shared" si="140"/>
        <v>0</v>
      </c>
      <c r="AC93" s="101">
        <f t="shared" si="140"/>
        <v>5</v>
      </c>
      <c r="AD93" s="101"/>
      <c r="AE93" s="101">
        <f t="shared" si="140"/>
        <v>10</v>
      </c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</row>
    <row r="94" spans="3:94" ht="15.75" customHeight="1" x14ac:dyDescent="0.25"/>
    <row r="95" spans="3:94" ht="15.75" customHeight="1" x14ac:dyDescent="0.25"/>
    <row r="96" spans="3:94" ht="15.75" customHeight="1" x14ac:dyDescent="0.25"/>
    <row r="97" spans="32:36" ht="15.75" customHeight="1" x14ac:dyDescent="0.25"/>
    <row r="98" spans="32:36" ht="15.75" customHeight="1" x14ac:dyDescent="0.25"/>
    <row r="99" spans="32:36" ht="15.75" customHeight="1" x14ac:dyDescent="0.25"/>
    <row r="100" spans="32:36" ht="15.75" customHeight="1" x14ac:dyDescent="0.25">
      <c r="AF100" s="382"/>
      <c r="AG100" s="89"/>
      <c r="AH100" s="89"/>
      <c r="AI100" s="89"/>
      <c r="AJ100" s="89"/>
    </row>
    <row r="101" spans="32:36" ht="15.75" customHeight="1" x14ac:dyDescent="0.25">
      <c r="AF101" s="382"/>
      <c r="AG101" s="89"/>
      <c r="AH101" s="89"/>
      <c r="AI101" s="89"/>
      <c r="AJ101" s="89"/>
    </row>
    <row r="102" spans="32:36" ht="15.75" customHeight="1" x14ac:dyDescent="0.25">
      <c r="AF102" s="382"/>
      <c r="AG102" s="89"/>
      <c r="AH102" s="89"/>
      <c r="AI102" s="89"/>
      <c r="AJ102" s="89"/>
    </row>
    <row r="103" spans="32:36" ht="15.75" customHeight="1" x14ac:dyDescent="0.25">
      <c r="AF103" s="382"/>
      <c r="AG103" s="89"/>
      <c r="AH103" s="89"/>
      <c r="AI103" s="89"/>
      <c r="AJ103" s="89"/>
    </row>
    <row r="104" spans="32:36" ht="15.75" customHeight="1" x14ac:dyDescent="0.25">
      <c r="AF104" s="382"/>
      <c r="AG104" s="89"/>
      <c r="AH104" s="89"/>
      <c r="AI104" s="89"/>
      <c r="AJ104" s="89"/>
    </row>
    <row r="105" spans="32:36" ht="15.75" customHeight="1" x14ac:dyDescent="0.25">
      <c r="AF105" s="382"/>
      <c r="AG105" s="89"/>
      <c r="AH105" s="89"/>
      <c r="AI105" s="89"/>
      <c r="AJ105" s="89"/>
    </row>
    <row r="106" spans="32:36" ht="15.75" customHeight="1" x14ac:dyDescent="0.25">
      <c r="AF106" s="382"/>
      <c r="AG106" s="89"/>
      <c r="AH106" s="89"/>
      <c r="AI106" s="89"/>
      <c r="AJ106" s="89"/>
    </row>
    <row r="107" spans="32:36" ht="15.75" customHeight="1" x14ac:dyDescent="0.25"/>
    <row r="108" spans="32:36" ht="15.75" customHeight="1" x14ac:dyDescent="0.25"/>
    <row r="109" spans="32:36" ht="15.75" customHeight="1" x14ac:dyDescent="0.25"/>
    <row r="110" spans="32:36" ht="15.75" customHeight="1" x14ac:dyDescent="0.25"/>
    <row r="111" spans="32:36" ht="15.75" customHeight="1" x14ac:dyDescent="0.25"/>
    <row r="112" spans="32:3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mergeCells count="116"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  <mergeCell ref="E62:F62"/>
    <mergeCell ref="E63:F63"/>
    <mergeCell ref="E64:F64"/>
    <mergeCell ref="E65:F65"/>
    <mergeCell ref="E66:F66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3:D73"/>
    <mergeCell ref="M74:N74"/>
    <mergeCell ref="M62:N62"/>
    <mergeCell ref="M63:N63"/>
    <mergeCell ref="M64:N64"/>
    <mergeCell ref="M65:N65"/>
    <mergeCell ref="M66:N66"/>
    <mergeCell ref="M67:N67"/>
    <mergeCell ref="M68:N68"/>
    <mergeCell ref="M69:N69"/>
    <mergeCell ref="M72:N72"/>
    <mergeCell ref="M73:N73"/>
    <mergeCell ref="M77:N77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U72:V72"/>
    <mergeCell ref="U74:V74"/>
    <mergeCell ref="U75:V75"/>
    <mergeCell ref="U76:V76"/>
    <mergeCell ref="Q68:T68"/>
    <mergeCell ref="Q69:T69"/>
    <mergeCell ref="Q70:T70"/>
    <mergeCell ref="Q71:T71"/>
    <mergeCell ref="Q72:T72"/>
    <mergeCell ref="W78:AE78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AC62:AE62"/>
    <mergeCell ref="U62:V62"/>
    <mergeCell ref="AC63:AE63"/>
    <mergeCell ref="AC74:AE74"/>
    <mergeCell ref="AC75:AE75"/>
    <mergeCell ref="AC76:AE76"/>
    <mergeCell ref="U77:V77"/>
    <mergeCell ref="U68:V68"/>
    <mergeCell ref="U69:V69"/>
    <mergeCell ref="I68:L68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U70:V70"/>
    <mergeCell ref="U71:V71"/>
    <mergeCell ref="Q63:T63"/>
    <mergeCell ref="Q64:T64"/>
    <mergeCell ref="Q65:T65"/>
    <mergeCell ref="Q66:T66"/>
    <mergeCell ref="Q67:T67"/>
    <mergeCell ref="I63:L63"/>
    <mergeCell ref="I64:L64"/>
    <mergeCell ref="I65:L65"/>
    <mergeCell ref="I66:L66"/>
    <mergeCell ref="I62:L62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25" zoomScaleNormal="100" workbookViewId="0">
      <selection activeCell="O27" sqref="O27"/>
    </sheetView>
  </sheetViews>
  <sheetFormatPr defaultColWidth="4" defaultRowHeight="14.25" customHeight="1" x14ac:dyDescent="0.25"/>
  <cols>
    <col min="2" max="8" width="4.125" customWidth="1"/>
    <col min="9" max="23" width="4.25" customWidth="1"/>
    <col min="25" max="25" width="2.125" customWidth="1"/>
    <col min="26" max="29" width="4.25" customWidth="1"/>
  </cols>
  <sheetData>
    <row r="1" spans="1:32" ht="21" customHeight="1" x14ac:dyDescent="0.25">
      <c r="A1" s="148"/>
      <c r="B1" s="149"/>
      <c r="C1" s="149"/>
      <c r="D1" s="149"/>
      <c r="E1" s="149"/>
      <c r="F1" s="149"/>
      <c r="G1" s="850" t="s">
        <v>499</v>
      </c>
      <c r="H1" s="850"/>
      <c r="I1" s="850"/>
      <c r="J1" s="850"/>
      <c r="K1" s="850"/>
      <c r="L1" s="850"/>
      <c r="M1" s="850"/>
      <c r="N1" s="850"/>
      <c r="O1" s="850"/>
      <c r="P1" s="850"/>
      <c r="Q1" s="850"/>
      <c r="R1" s="850"/>
      <c r="S1" s="850"/>
      <c r="T1" s="850"/>
      <c r="U1" s="850"/>
      <c r="V1" s="850"/>
      <c r="W1" s="850"/>
      <c r="X1" s="850"/>
      <c r="Y1" s="850"/>
      <c r="Z1" s="850"/>
      <c r="AA1" s="150"/>
      <c r="AB1" s="150"/>
      <c r="AC1" s="150"/>
      <c r="AD1" s="150"/>
      <c r="AE1" s="150"/>
      <c r="AF1" s="151"/>
    </row>
    <row r="2" spans="1:32" ht="14.25" customHeight="1" x14ac:dyDescent="0.25">
      <c r="A2" s="146"/>
      <c r="B2" s="147"/>
      <c r="C2" s="147"/>
      <c r="D2" s="147"/>
      <c r="E2" s="147"/>
      <c r="F2" s="147"/>
      <c r="G2" s="851"/>
      <c r="H2" s="851"/>
      <c r="I2" s="851"/>
      <c r="J2" s="851"/>
      <c r="K2" s="851"/>
      <c r="L2" s="851"/>
      <c r="M2" s="851"/>
      <c r="N2" s="851"/>
      <c r="O2" s="851"/>
      <c r="P2" s="851"/>
      <c r="Q2" s="851"/>
      <c r="R2" s="851"/>
      <c r="S2" s="851"/>
      <c r="T2" s="851"/>
      <c r="U2" s="851"/>
      <c r="V2" s="851"/>
      <c r="W2" s="851"/>
      <c r="X2" s="851"/>
      <c r="Y2" s="851"/>
      <c r="Z2" s="851"/>
      <c r="AA2" s="754" t="s">
        <v>358</v>
      </c>
      <c r="AB2" s="829"/>
      <c r="AC2" s="829"/>
      <c r="AD2" s="829"/>
      <c r="AE2" s="829"/>
      <c r="AF2" s="911"/>
    </row>
    <row r="3" spans="1:32" ht="14.25" customHeight="1" x14ac:dyDescent="0.25">
      <c r="A3" s="146"/>
      <c r="B3" s="879" t="s">
        <v>289</v>
      </c>
      <c r="C3" s="880"/>
      <c r="D3" s="880"/>
      <c r="E3" s="880"/>
      <c r="F3" s="880"/>
      <c r="G3" s="140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75" t="s">
        <v>357</v>
      </c>
      <c r="S3" s="144"/>
      <c r="T3" s="144"/>
      <c r="U3" s="144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52"/>
    </row>
    <row r="4" spans="1:32" ht="14.25" customHeight="1" x14ac:dyDescent="0.25">
      <c r="A4" s="146"/>
      <c r="B4" s="880"/>
      <c r="C4" s="880"/>
      <c r="D4" s="880"/>
      <c r="E4" s="880"/>
      <c r="F4" s="880"/>
      <c r="G4" s="141"/>
      <c r="H4" s="155"/>
      <c r="I4" s="156"/>
      <c r="J4" s="156"/>
      <c r="K4" s="156"/>
      <c r="L4" s="156"/>
      <c r="M4" s="156"/>
      <c r="N4" s="156"/>
      <c r="O4" s="156"/>
      <c r="P4" s="156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2"/>
      <c r="AE4" s="141"/>
      <c r="AF4" s="153"/>
    </row>
    <row r="5" spans="1:32" ht="14.25" customHeight="1" x14ac:dyDescent="0.25">
      <c r="A5" s="146"/>
      <c r="B5" s="880"/>
      <c r="C5" s="880"/>
      <c r="D5" s="880"/>
      <c r="E5" s="880"/>
      <c r="F5" s="880"/>
      <c r="G5" s="141"/>
      <c r="H5" s="157"/>
      <c r="I5" s="158"/>
      <c r="J5" s="158"/>
      <c r="K5" s="237" t="s">
        <v>426</v>
      </c>
      <c r="L5" s="158"/>
      <c r="M5" s="158"/>
      <c r="N5" s="158"/>
      <c r="O5" s="158"/>
      <c r="P5" s="158"/>
      <c r="Q5" s="163"/>
      <c r="R5" s="228"/>
      <c r="S5" s="228"/>
      <c r="T5" s="228"/>
      <c r="U5" s="228"/>
      <c r="V5" s="228"/>
      <c r="W5" s="236" t="s">
        <v>430</v>
      </c>
      <c r="X5" s="228"/>
      <c r="Y5" s="228"/>
      <c r="Z5" s="228"/>
      <c r="AA5" s="228"/>
      <c r="AB5" s="228"/>
      <c r="AC5" s="228"/>
      <c r="AD5" s="164"/>
      <c r="AE5" s="141"/>
      <c r="AF5" s="153"/>
    </row>
    <row r="6" spans="1:32" ht="14.25" customHeight="1" x14ac:dyDescent="0.25">
      <c r="A6" s="146"/>
      <c r="B6" s="880"/>
      <c r="C6" s="880"/>
      <c r="D6" s="880"/>
      <c r="E6" s="880"/>
      <c r="F6" s="880"/>
      <c r="G6" s="141"/>
      <c r="H6" s="157"/>
      <c r="I6" s="158"/>
      <c r="J6" s="158"/>
      <c r="K6" s="158"/>
      <c r="L6" s="158"/>
      <c r="M6" s="158"/>
      <c r="N6" s="158"/>
      <c r="O6" s="158"/>
      <c r="P6" s="158"/>
      <c r="Q6" s="165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7"/>
      <c r="AE6" s="141"/>
      <c r="AF6" s="153"/>
    </row>
    <row r="7" spans="1:32" ht="8.65" customHeight="1" x14ac:dyDescent="0.25">
      <c r="A7" s="146"/>
      <c r="B7" s="880"/>
      <c r="C7" s="880"/>
      <c r="D7" s="880"/>
      <c r="E7" s="880"/>
      <c r="F7" s="880"/>
      <c r="G7" s="141"/>
      <c r="H7" s="229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1"/>
      <c r="AE7" s="141"/>
      <c r="AF7" s="153"/>
    </row>
    <row r="8" spans="1:32" ht="14.25" customHeight="1" thickBot="1" x14ac:dyDescent="0.3">
      <c r="A8" s="246"/>
      <c r="B8" s="881"/>
      <c r="C8" s="881"/>
      <c r="D8" s="881"/>
      <c r="E8" s="881"/>
      <c r="F8" s="882"/>
      <c r="G8" s="138"/>
      <c r="H8" s="232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912" t="s">
        <v>427</v>
      </c>
      <c r="U8" s="912"/>
      <c r="V8" s="912"/>
      <c r="W8" s="912"/>
      <c r="X8" s="912"/>
      <c r="Y8" s="912"/>
      <c r="Z8" s="912"/>
      <c r="AA8" s="912"/>
      <c r="AB8" s="233"/>
      <c r="AC8" s="233"/>
      <c r="AD8" s="234"/>
      <c r="AE8" s="141"/>
      <c r="AF8" s="153"/>
    </row>
    <row r="9" spans="1:32" ht="14.25" customHeight="1" thickTop="1" x14ac:dyDescent="0.25">
      <c r="A9" s="766" t="s">
        <v>291</v>
      </c>
      <c r="B9" s="767"/>
      <c r="G9" s="138"/>
      <c r="H9" s="168"/>
      <c r="I9" s="169"/>
      <c r="J9" s="169"/>
      <c r="K9" s="170"/>
      <c r="L9" s="159"/>
      <c r="M9" s="168"/>
      <c r="N9" s="169"/>
      <c r="O9" s="169"/>
      <c r="P9" s="169"/>
      <c r="Q9" s="169"/>
      <c r="R9" s="170"/>
      <c r="S9" s="159"/>
      <c r="T9" s="168"/>
      <c r="U9" s="169"/>
      <c r="V9" s="169"/>
      <c r="W9" s="169"/>
      <c r="X9" s="169"/>
      <c r="Y9" s="170"/>
      <c r="Z9" s="159"/>
      <c r="AA9" s="168"/>
      <c r="AB9" s="169"/>
      <c r="AC9" s="169"/>
      <c r="AD9" s="170"/>
      <c r="AE9" s="141"/>
      <c r="AF9" s="153"/>
    </row>
    <row r="10" spans="1:32" ht="8.25" customHeight="1" x14ac:dyDescent="0.25">
      <c r="A10" s="766"/>
      <c r="B10" s="767"/>
      <c r="G10" s="138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53"/>
    </row>
    <row r="11" spans="1:32" ht="14.25" customHeight="1" x14ac:dyDescent="0.25">
      <c r="A11" s="768" t="s">
        <v>290</v>
      </c>
      <c r="B11" s="768"/>
      <c r="G11" s="13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41"/>
      <c r="AF11" s="153"/>
    </row>
    <row r="12" spans="1:32" ht="14.25" customHeight="1" x14ac:dyDescent="0.25">
      <c r="A12" s="146"/>
      <c r="H12" s="840" t="s">
        <v>500</v>
      </c>
      <c r="I12" s="913"/>
      <c r="J12" s="913"/>
      <c r="K12" s="841"/>
      <c r="L12" s="792" t="s">
        <v>239</v>
      </c>
      <c r="M12" s="788" t="s">
        <v>258</v>
      </c>
      <c r="N12" s="789"/>
      <c r="O12" s="788" t="s">
        <v>259</v>
      </c>
      <c r="P12" s="789"/>
      <c r="Q12" s="788" t="s">
        <v>260</v>
      </c>
      <c r="R12" s="789"/>
      <c r="S12" s="792" t="s">
        <v>239</v>
      </c>
      <c r="T12" s="788" t="s">
        <v>261</v>
      </c>
      <c r="U12" s="789"/>
      <c r="V12" s="788" t="s">
        <v>262</v>
      </c>
      <c r="W12" s="789"/>
      <c r="X12" s="70"/>
      <c r="Y12" s="70"/>
      <c r="AA12" s="821" t="s">
        <v>292</v>
      </c>
      <c r="AB12" s="822"/>
      <c r="AE12" s="138"/>
      <c r="AF12" s="153"/>
    </row>
    <row r="13" spans="1:32" ht="12.75" customHeight="1" x14ac:dyDescent="0.25">
      <c r="A13" s="146"/>
      <c r="G13" s="235" t="s">
        <v>372</v>
      </c>
      <c r="H13" s="914" t="s">
        <v>501</v>
      </c>
      <c r="I13" s="915"/>
      <c r="J13" s="915"/>
      <c r="K13" s="916"/>
      <c r="L13" s="792"/>
      <c r="M13" s="756" t="s">
        <v>503</v>
      </c>
      <c r="N13" s="757"/>
      <c r="O13" s="790" t="s">
        <v>514</v>
      </c>
      <c r="P13" s="791"/>
      <c r="Q13" s="790" t="s">
        <v>294</v>
      </c>
      <c r="R13" s="791"/>
      <c r="S13" s="792"/>
      <c r="T13" s="790" t="s">
        <v>295</v>
      </c>
      <c r="U13" s="791"/>
      <c r="V13" s="807" t="s">
        <v>276</v>
      </c>
      <c r="W13" s="808"/>
      <c r="X13" s="187" t="s">
        <v>372</v>
      </c>
      <c r="Y13" s="53"/>
      <c r="AA13" s="823"/>
      <c r="AB13" s="824"/>
      <c r="AE13" s="138"/>
      <c r="AF13" s="153"/>
    </row>
    <row r="14" spans="1:32" ht="14.25" customHeight="1" x14ac:dyDescent="0.25">
      <c r="A14" s="146"/>
      <c r="G14" s="235"/>
      <c r="H14" s="752" t="s">
        <v>263</v>
      </c>
      <c r="I14" s="787"/>
      <c r="J14" s="752" t="s">
        <v>264</v>
      </c>
      <c r="K14" s="787"/>
      <c r="L14" s="792"/>
      <c r="M14" s="752" t="s">
        <v>265</v>
      </c>
      <c r="N14" s="787"/>
      <c r="O14" s="752" t="s">
        <v>266</v>
      </c>
      <c r="P14" s="787"/>
      <c r="Q14" s="752" t="s">
        <v>238</v>
      </c>
      <c r="R14" s="787"/>
      <c r="S14" s="792"/>
      <c r="T14" s="752" t="s">
        <v>267</v>
      </c>
      <c r="U14" s="787"/>
      <c r="V14" s="752" t="s">
        <v>268</v>
      </c>
      <c r="W14" s="787"/>
      <c r="X14" s="188"/>
      <c r="AA14" s="823"/>
      <c r="AB14" s="824"/>
      <c r="AE14" s="138"/>
      <c r="AF14" s="153"/>
    </row>
    <row r="15" spans="1:32" ht="14.25" customHeight="1" x14ac:dyDescent="0.25">
      <c r="A15" s="146"/>
      <c r="G15" s="235" t="s">
        <v>371</v>
      </c>
      <c r="H15" s="759" t="s">
        <v>18</v>
      </c>
      <c r="I15" s="765"/>
      <c r="J15" s="759" t="s">
        <v>24</v>
      </c>
      <c r="K15" s="765"/>
      <c r="L15" s="792"/>
      <c r="M15" s="759" t="s">
        <v>142</v>
      </c>
      <c r="N15" s="765"/>
      <c r="O15" s="759" t="s">
        <v>124</v>
      </c>
      <c r="P15" s="765"/>
      <c r="Q15" s="759" t="s">
        <v>138</v>
      </c>
      <c r="R15" s="765"/>
      <c r="S15" s="792"/>
      <c r="T15" s="759" t="s">
        <v>201</v>
      </c>
      <c r="U15" s="765"/>
      <c r="V15" s="838" t="s">
        <v>202</v>
      </c>
      <c r="W15" s="839"/>
      <c r="X15" s="188" t="s">
        <v>371</v>
      </c>
      <c r="AE15" s="138"/>
      <c r="AF15" s="153"/>
    </row>
    <row r="16" spans="1:32" ht="14.25" customHeight="1" x14ac:dyDescent="0.25">
      <c r="A16" s="146"/>
      <c r="G16" s="235"/>
      <c r="H16" s="752" t="s">
        <v>269</v>
      </c>
      <c r="I16" s="787"/>
      <c r="J16" s="752" t="s">
        <v>270</v>
      </c>
      <c r="K16" s="787"/>
      <c r="L16" s="792"/>
      <c r="M16" s="752" t="s">
        <v>271</v>
      </c>
      <c r="N16" s="787"/>
      <c r="O16" s="840" t="s">
        <v>272</v>
      </c>
      <c r="P16" s="841"/>
      <c r="Q16" s="840" t="s">
        <v>273</v>
      </c>
      <c r="R16" s="841"/>
      <c r="S16" s="792"/>
      <c r="T16" s="840" t="s">
        <v>274</v>
      </c>
      <c r="U16" s="841"/>
      <c r="V16" s="840" t="s">
        <v>275</v>
      </c>
      <c r="W16" s="841"/>
      <c r="X16" s="188"/>
      <c r="AA16" s="883" t="s">
        <v>359</v>
      </c>
      <c r="AB16" s="884"/>
      <c r="AC16" s="885"/>
      <c r="AE16" s="138"/>
      <c r="AF16" s="153"/>
    </row>
    <row r="17" spans="1:32" ht="14.25" customHeight="1" thickBot="1" x14ac:dyDescent="0.3">
      <c r="A17" s="146"/>
      <c r="G17" s="235" t="s">
        <v>370</v>
      </c>
      <c r="H17" s="796" t="s">
        <v>203</v>
      </c>
      <c r="I17" s="797"/>
      <c r="J17" s="796" t="s">
        <v>204</v>
      </c>
      <c r="K17" s="797"/>
      <c r="L17" s="793"/>
      <c r="M17" s="796" t="s">
        <v>304</v>
      </c>
      <c r="N17" s="797"/>
      <c r="O17" s="794" t="s">
        <v>338</v>
      </c>
      <c r="P17" s="795"/>
      <c r="Q17" s="794" t="s">
        <v>337</v>
      </c>
      <c r="R17" s="795"/>
      <c r="S17" s="793"/>
      <c r="T17" s="794" t="s">
        <v>338</v>
      </c>
      <c r="U17" s="795"/>
      <c r="V17" s="845" t="s">
        <v>276</v>
      </c>
      <c r="W17" s="846"/>
      <c r="X17" s="188" t="s">
        <v>370</v>
      </c>
      <c r="AA17" s="886"/>
      <c r="AB17" s="887"/>
      <c r="AC17" s="888"/>
      <c r="AE17" s="138"/>
      <c r="AF17" s="153"/>
    </row>
    <row r="18" spans="1:32" ht="12.75" customHeight="1" thickTop="1" thickBot="1" x14ac:dyDescent="0.3">
      <c r="A18" s="146"/>
      <c r="G18" s="446"/>
      <c r="K18" s="69"/>
      <c r="U18" s="69"/>
      <c r="Z18" s="746" t="s">
        <v>370</v>
      </c>
      <c r="AA18" s="746"/>
      <c r="AB18" s="747" t="s">
        <v>371</v>
      </c>
      <c r="AC18" s="747"/>
      <c r="AE18" s="138"/>
      <c r="AF18" s="153"/>
    </row>
    <row r="19" spans="1:32" ht="14.25" customHeight="1" x14ac:dyDescent="0.25">
      <c r="A19" s="146"/>
      <c r="B19" s="825" t="s">
        <v>293</v>
      </c>
      <c r="C19" s="826"/>
      <c r="G19" s="446"/>
      <c r="I19" s="147"/>
      <c r="J19" s="147"/>
      <c r="K19" s="145"/>
      <c r="L19" s="147"/>
      <c r="M19" s="147"/>
      <c r="N19" s="147"/>
      <c r="O19" s="147"/>
      <c r="P19" s="147"/>
      <c r="Q19" s="147"/>
      <c r="R19" s="147"/>
      <c r="S19" s="147"/>
      <c r="T19" s="147"/>
      <c r="U19" s="145"/>
      <c r="V19" s="147"/>
      <c r="W19" s="147"/>
      <c r="Z19" s="809" t="s">
        <v>353</v>
      </c>
      <c r="AA19" s="810"/>
      <c r="AB19" s="813" t="s">
        <v>277</v>
      </c>
      <c r="AC19" s="810"/>
      <c r="AE19" s="138"/>
      <c r="AF19" s="153"/>
    </row>
    <row r="20" spans="1:32" ht="14.25" customHeight="1" thickBot="1" x14ac:dyDescent="0.3">
      <c r="A20" s="146"/>
      <c r="B20" s="827"/>
      <c r="C20" s="828"/>
      <c r="G20" s="446"/>
      <c r="I20" s="754" t="s">
        <v>279</v>
      </c>
      <c r="J20" s="829"/>
      <c r="K20" s="755"/>
      <c r="L20" s="758" t="s">
        <v>297</v>
      </c>
      <c r="M20" s="755"/>
      <c r="N20" s="758" t="s">
        <v>280</v>
      </c>
      <c r="O20" s="755"/>
      <c r="P20" s="842" t="s">
        <v>239</v>
      </c>
      <c r="Q20" s="754" t="s">
        <v>281</v>
      </c>
      <c r="R20" s="755"/>
      <c r="S20" s="758" t="s">
        <v>280</v>
      </c>
      <c r="T20" s="755"/>
      <c r="U20" s="758" t="s">
        <v>504</v>
      </c>
      <c r="V20" s="755"/>
      <c r="W20" s="798" t="s">
        <v>285</v>
      </c>
      <c r="Z20" s="811"/>
      <c r="AA20" s="812"/>
      <c r="AB20" s="814"/>
      <c r="AC20" s="812"/>
      <c r="AE20" s="138"/>
      <c r="AF20" s="153"/>
    </row>
    <row r="21" spans="1:32" ht="14.25" customHeight="1" thickBot="1" x14ac:dyDescent="0.3">
      <c r="A21" s="146"/>
      <c r="G21" s="446"/>
      <c r="H21" s="227" t="s">
        <v>371</v>
      </c>
      <c r="I21" s="756"/>
      <c r="J21" s="830"/>
      <c r="K21" s="757"/>
      <c r="L21" s="756"/>
      <c r="M21" s="757"/>
      <c r="N21" s="756"/>
      <c r="O21" s="757"/>
      <c r="P21" s="843"/>
      <c r="Q21" s="756"/>
      <c r="R21" s="757"/>
      <c r="S21" s="756"/>
      <c r="T21" s="757"/>
      <c r="U21" s="756"/>
      <c r="V21" s="757"/>
      <c r="W21" s="798"/>
      <c r="X21" s="187" t="s">
        <v>371</v>
      </c>
      <c r="Z21" s="782" t="s">
        <v>354</v>
      </c>
      <c r="AA21" s="776"/>
      <c r="AB21" s="815" t="s">
        <v>355</v>
      </c>
      <c r="AC21" s="816"/>
      <c r="AE21" s="138"/>
      <c r="AF21" s="153"/>
    </row>
    <row r="22" spans="1:32" ht="14.25" customHeight="1" thickTop="1" x14ac:dyDescent="0.25">
      <c r="A22" s="146"/>
      <c r="G22" s="446"/>
      <c r="H22" s="447"/>
      <c r="I22" s="754" t="s">
        <v>284</v>
      </c>
      <c r="J22" s="829"/>
      <c r="K22" s="755"/>
      <c r="L22" s="754" t="s">
        <v>283</v>
      </c>
      <c r="M22" s="755"/>
      <c r="N22" s="754" t="s">
        <v>373</v>
      </c>
      <c r="O22" s="755"/>
      <c r="P22" s="843"/>
      <c r="Q22" s="799" t="s">
        <v>383</v>
      </c>
      <c r="R22" s="800"/>
      <c r="S22" s="754" t="s">
        <v>282</v>
      </c>
      <c r="T22" s="829"/>
      <c r="U22" s="829"/>
      <c r="V22" s="755"/>
      <c r="W22" s="798" t="s">
        <v>285</v>
      </c>
      <c r="X22" s="187"/>
      <c r="Z22" s="783"/>
      <c r="AA22" s="778"/>
      <c r="AB22" s="817"/>
      <c r="AC22" s="818"/>
      <c r="AE22" s="138"/>
      <c r="AF22" s="153"/>
    </row>
    <row r="23" spans="1:32" ht="14.25" customHeight="1" thickBot="1" x14ac:dyDescent="0.3">
      <c r="A23" s="146"/>
      <c r="G23" s="446"/>
      <c r="H23" s="227" t="s">
        <v>370</v>
      </c>
      <c r="I23" s="803"/>
      <c r="J23" s="831"/>
      <c r="K23" s="804"/>
      <c r="L23" s="803"/>
      <c r="M23" s="804"/>
      <c r="N23" s="805"/>
      <c r="O23" s="806"/>
      <c r="P23" s="843"/>
      <c r="Q23" s="801"/>
      <c r="R23" s="802"/>
      <c r="S23" s="803"/>
      <c r="T23" s="831"/>
      <c r="U23" s="831"/>
      <c r="V23" s="804"/>
      <c r="W23" s="844"/>
      <c r="X23" s="187" t="s">
        <v>370</v>
      </c>
      <c r="Z23" s="784"/>
      <c r="AA23" s="780"/>
      <c r="AB23" s="819"/>
      <c r="AC23" s="820"/>
      <c r="AE23" s="138"/>
      <c r="AF23" s="153"/>
    </row>
    <row r="24" spans="1:32" ht="14.25" customHeight="1" thickTop="1" x14ac:dyDescent="0.25">
      <c r="A24" s="146"/>
      <c r="B24" s="746" t="s">
        <v>372</v>
      </c>
      <c r="C24" s="746"/>
      <c r="D24" s="746" t="s">
        <v>371</v>
      </c>
      <c r="E24" s="746"/>
      <c r="F24" s="746" t="s">
        <v>370</v>
      </c>
      <c r="G24" s="761"/>
      <c r="N24" s="195"/>
      <c r="O24" s="197"/>
      <c r="P24" s="198"/>
      <c r="Q24" s="199"/>
      <c r="R24" s="196"/>
      <c r="Z24" s="785" t="s">
        <v>239</v>
      </c>
      <c r="AA24" s="786"/>
      <c r="AB24" s="786"/>
      <c r="AC24" s="786"/>
      <c r="AE24" s="138"/>
      <c r="AF24" s="153"/>
    </row>
    <row r="25" spans="1:32" ht="14.25" customHeight="1" x14ac:dyDescent="0.25">
      <c r="A25" s="146"/>
      <c r="B25" s="752" t="s">
        <v>245</v>
      </c>
      <c r="C25" s="787"/>
      <c r="D25" s="752" t="s">
        <v>251</v>
      </c>
      <c r="E25" s="787"/>
      <c r="F25" s="752" t="s">
        <v>257</v>
      </c>
      <c r="G25" s="753"/>
      <c r="I25" s="902"/>
      <c r="J25" s="903"/>
      <c r="K25" s="903"/>
      <c r="L25" s="904"/>
      <c r="T25" s="893" t="s">
        <v>502</v>
      </c>
      <c r="U25" s="894"/>
      <c r="V25" s="894"/>
      <c r="W25" s="895"/>
      <c r="Z25" s="769" t="s">
        <v>352</v>
      </c>
      <c r="AA25" s="770"/>
      <c r="AB25" s="775" t="s">
        <v>356</v>
      </c>
      <c r="AC25" s="776"/>
      <c r="AE25" s="745" t="s">
        <v>374</v>
      </c>
      <c r="AF25" s="745" t="s">
        <v>374</v>
      </c>
    </row>
    <row r="26" spans="1:32" ht="14.25" customHeight="1" x14ac:dyDescent="0.25">
      <c r="A26" s="146"/>
      <c r="B26" s="759" t="s">
        <v>196</v>
      </c>
      <c r="C26" s="765"/>
      <c r="D26" s="759" t="s">
        <v>198</v>
      </c>
      <c r="E26" s="765"/>
      <c r="F26" s="759" t="s">
        <v>473</v>
      </c>
      <c r="G26" s="760"/>
      <c r="I26" s="905"/>
      <c r="J26" s="906"/>
      <c r="K26" s="906"/>
      <c r="L26" s="907"/>
      <c r="S26" s="71"/>
      <c r="T26" s="896"/>
      <c r="U26" s="897"/>
      <c r="V26" s="897"/>
      <c r="W26" s="898"/>
      <c r="Z26" s="771"/>
      <c r="AA26" s="772"/>
      <c r="AB26" s="777"/>
      <c r="AC26" s="778"/>
      <c r="AE26" s="745"/>
      <c r="AF26" s="745"/>
    </row>
    <row r="27" spans="1:32" ht="14.25" customHeight="1" x14ac:dyDescent="0.25">
      <c r="A27" s="146"/>
      <c r="B27" s="834" t="s">
        <v>239</v>
      </c>
      <c r="C27" s="835"/>
      <c r="D27" s="835"/>
      <c r="E27" s="835"/>
      <c r="F27" s="835"/>
      <c r="G27" s="836"/>
      <c r="I27" s="905"/>
      <c r="J27" s="906"/>
      <c r="K27" s="906"/>
      <c r="L27" s="907"/>
      <c r="S27" s="71"/>
      <c r="T27" s="896"/>
      <c r="U27" s="897"/>
      <c r="V27" s="897"/>
      <c r="W27" s="898"/>
      <c r="Z27" s="771"/>
      <c r="AA27" s="772"/>
      <c r="AB27" s="779"/>
      <c r="AC27" s="780"/>
      <c r="AE27" s="745"/>
      <c r="AF27" s="745"/>
    </row>
    <row r="28" spans="1:32" ht="14.25" customHeight="1" x14ac:dyDescent="0.25">
      <c r="A28" s="146"/>
      <c r="B28" s="752" t="s">
        <v>244</v>
      </c>
      <c r="C28" s="787"/>
      <c r="D28" s="752" t="s">
        <v>250</v>
      </c>
      <c r="E28" s="787"/>
      <c r="F28" s="752" t="s">
        <v>256</v>
      </c>
      <c r="G28" s="753"/>
      <c r="I28" s="908"/>
      <c r="J28" s="909"/>
      <c r="K28" s="909"/>
      <c r="L28" s="910"/>
      <c r="S28" s="71"/>
      <c r="T28" s="899"/>
      <c r="U28" s="900"/>
      <c r="V28" s="900"/>
      <c r="W28" s="901"/>
      <c r="Z28" s="773"/>
      <c r="AA28" s="774"/>
      <c r="AB28" s="781" t="s">
        <v>278</v>
      </c>
      <c r="AC28" s="781"/>
      <c r="AE28" s="745"/>
      <c r="AF28" s="745"/>
    </row>
    <row r="29" spans="1:32" ht="14.25" customHeight="1" x14ac:dyDescent="0.25">
      <c r="A29" s="146"/>
      <c r="B29" s="759" t="s">
        <v>116</v>
      </c>
      <c r="C29" s="765"/>
      <c r="D29" s="759" t="s">
        <v>197</v>
      </c>
      <c r="E29" s="765"/>
      <c r="F29" s="759" t="s">
        <v>219</v>
      </c>
      <c r="G29" s="760"/>
      <c r="Z29" s="889" t="s">
        <v>360</v>
      </c>
      <c r="AA29" s="890"/>
      <c r="AB29" s="891"/>
      <c r="AC29" s="892"/>
      <c r="AE29" s="138"/>
      <c r="AF29" s="153"/>
    </row>
    <row r="30" spans="1:32" ht="14.25" customHeight="1" x14ac:dyDescent="0.25">
      <c r="A30" s="146"/>
      <c r="B30" s="752" t="s">
        <v>243</v>
      </c>
      <c r="C30" s="787"/>
      <c r="D30" s="752" t="s">
        <v>249</v>
      </c>
      <c r="E30" s="787"/>
      <c r="F30" s="752" t="s">
        <v>255</v>
      </c>
      <c r="G30" s="753"/>
      <c r="Z30" s="872" t="s">
        <v>351</v>
      </c>
      <c r="AA30" s="873"/>
      <c r="AB30" s="832" t="s">
        <v>44</v>
      </c>
      <c r="AC30" s="833"/>
      <c r="AD30" s="863" t="s">
        <v>336</v>
      </c>
      <c r="AE30" s="864"/>
      <c r="AF30" s="865"/>
    </row>
    <row r="31" spans="1:32" ht="14.25" customHeight="1" x14ac:dyDescent="0.25">
      <c r="A31" s="146"/>
      <c r="B31" s="759" t="s">
        <v>121</v>
      </c>
      <c r="C31" s="765"/>
      <c r="D31" s="759" t="s">
        <v>140</v>
      </c>
      <c r="E31" s="765"/>
      <c r="F31" s="759" t="s">
        <v>215</v>
      </c>
      <c r="G31" s="760"/>
      <c r="Z31" s="874"/>
      <c r="AA31" s="873"/>
      <c r="AB31" s="832" t="s">
        <v>29</v>
      </c>
      <c r="AC31" s="833"/>
      <c r="AD31" s="866"/>
      <c r="AE31" s="867"/>
      <c r="AF31" s="868"/>
    </row>
    <row r="32" spans="1:32" ht="14.25" customHeight="1" x14ac:dyDescent="0.25">
      <c r="A32" s="146"/>
      <c r="B32" s="752" t="s">
        <v>242</v>
      </c>
      <c r="C32" s="787"/>
      <c r="D32" s="752" t="s">
        <v>248</v>
      </c>
      <c r="E32" s="787"/>
      <c r="F32" s="752" t="s">
        <v>254</v>
      </c>
      <c r="G32" s="753"/>
      <c r="Z32" s="874"/>
      <c r="AA32" s="873"/>
      <c r="AB32" s="832" t="s">
        <v>307</v>
      </c>
      <c r="AC32" s="833"/>
      <c r="AD32" s="866"/>
      <c r="AE32" s="867"/>
      <c r="AF32" s="868"/>
    </row>
    <row r="33" spans="1:32" ht="14.25" customHeight="1" x14ac:dyDescent="0.25">
      <c r="A33" s="146"/>
      <c r="B33" s="759" t="s">
        <v>148</v>
      </c>
      <c r="C33" s="765"/>
      <c r="D33" s="759" t="s">
        <v>20</v>
      </c>
      <c r="E33" s="765"/>
      <c r="F33" s="759" t="s">
        <v>214</v>
      </c>
      <c r="G33" s="760"/>
      <c r="Z33" s="874"/>
      <c r="AA33" s="873"/>
      <c r="AB33" s="832" t="s">
        <v>306</v>
      </c>
      <c r="AC33" s="833"/>
      <c r="AD33" s="866"/>
      <c r="AE33" s="867"/>
      <c r="AF33" s="868"/>
    </row>
    <row r="34" spans="1:32" ht="14.25" customHeight="1" x14ac:dyDescent="0.25">
      <c r="A34" s="146"/>
      <c r="B34" s="752" t="s">
        <v>241</v>
      </c>
      <c r="C34" s="787"/>
      <c r="D34" s="752" t="s">
        <v>247</v>
      </c>
      <c r="E34" s="787"/>
      <c r="F34" s="752" t="s">
        <v>253</v>
      </c>
      <c r="G34" s="753"/>
      <c r="Z34" s="763" t="s">
        <v>239</v>
      </c>
      <c r="AA34" s="764"/>
      <c r="AB34" s="764"/>
      <c r="AC34" s="764"/>
      <c r="AD34" s="866"/>
      <c r="AE34" s="867"/>
      <c r="AF34" s="868"/>
    </row>
    <row r="35" spans="1:32" ht="14.25" customHeight="1" x14ac:dyDescent="0.25">
      <c r="A35" s="146"/>
      <c r="B35" s="759" t="s">
        <v>21</v>
      </c>
      <c r="C35" s="765"/>
      <c r="D35" s="759" t="s">
        <v>30</v>
      </c>
      <c r="E35" s="765"/>
      <c r="F35" s="759" t="s">
        <v>213</v>
      </c>
      <c r="G35" s="760"/>
      <c r="I35" s="902"/>
      <c r="J35" s="903"/>
      <c r="K35" s="903"/>
      <c r="L35" s="904"/>
      <c r="T35" s="902"/>
      <c r="U35" s="903"/>
      <c r="V35" s="903"/>
      <c r="W35" s="904"/>
      <c r="Z35" s="875" t="s">
        <v>350</v>
      </c>
      <c r="AA35" s="876"/>
      <c r="AB35" s="832" t="s">
        <v>89</v>
      </c>
      <c r="AC35" s="833"/>
      <c r="AD35" s="866"/>
      <c r="AE35" s="867"/>
      <c r="AF35" s="868"/>
    </row>
    <row r="36" spans="1:32" ht="14.25" customHeight="1" x14ac:dyDescent="0.25">
      <c r="A36" s="146"/>
      <c r="B36" s="834" t="s">
        <v>239</v>
      </c>
      <c r="C36" s="835"/>
      <c r="D36" s="835"/>
      <c r="E36" s="835"/>
      <c r="F36" s="835"/>
      <c r="G36" s="836"/>
      <c r="I36" s="905"/>
      <c r="J36" s="906"/>
      <c r="K36" s="906"/>
      <c r="L36" s="907"/>
      <c r="T36" s="905"/>
      <c r="U36" s="906"/>
      <c r="V36" s="906"/>
      <c r="W36" s="907"/>
      <c r="Z36" s="877"/>
      <c r="AA36" s="878"/>
      <c r="AB36" s="832" t="s">
        <v>334</v>
      </c>
      <c r="AC36" s="833"/>
      <c r="AD36" s="869"/>
      <c r="AE36" s="870"/>
      <c r="AF36" s="871"/>
    </row>
    <row r="37" spans="1:32" ht="14.25" customHeight="1" x14ac:dyDescent="0.25">
      <c r="A37" s="146"/>
      <c r="B37" s="752" t="s">
        <v>240</v>
      </c>
      <c r="C37" s="787"/>
      <c r="D37" s="752" t="s">
        <v>246</v>
      </c>
      <c r="E37" s="787"/>
      <c r="F37" s="752" t="s">
        <v>252</v>
      </c>
      <c r="G37" s="753"/>
      <c r="I37" s="905"/>
      <c r="J37" s="906"/>
      <c r="K37" s="906"/>
      <c r="L37" s="907"/>
      <c r="T37" s="905"/>
      <c r="U37" s="906"/>
      <c r="V37" s="906"/>
      <c r="W37" s="907"/>
      <c r="Z37" s="877"/>
      <c r="AA37" s="878"/>
      <c r="AB37" s="832" t="s">
        <v>305</v>
      </c>
      <c r="AC37" s="833"/>
      <c r="AF37" s="154"/>
    </row>
    <row r="38" spans="1:32" ht="14.25" customHeight="1" x14ac:dyDescent="0.25">
      <c r="A38" s="146"/>
      <c r="B38" s="847" t="s">
        <v>31</v>
      </c>
      <c r="C38" s="848"/>
      <c r="D38" s="847" t="s">
        <v>27</v>
      </c>
      <c r="E38" s="848"/>
      <c r="F38" s="847" t="s">
        <v>173</v>
      </c>
      <c r="G38" s="849"/>
      <c r="I38" s="905"/>
      <c r="J38" s="906"/>
      <c r="K38" s="906"/>
      <c r="L38" s="910"/>
      <c r="T38" s="908"/>
      <c r="U38" s="909"/>
      <c r="V38" s="909"/>
      <c r="W38" s="910"/>
      <c r="Z38" s="877"/>
      <c r="AA38" s="878"/>
      <c r="AB38" s="832" t="s">
        <v>23</v>
      </c>
      <c r="AC38" s="833"/>
      <c r="AF38" s="154"/>
    </row>
    <row r="39" spans="1:32" ht="16.5" thickBot="1" x14ac:dyDescent="0.3">
      <c r="A39" s="189"/>
      <c r="B39" s="751" t="s">
        <v>372</v>
      </c>
      <c r="C39" s="751"/>
      <c r="D39" s="751" t="s">
        <v>371</v>
      </c>
      <c r="E39" s="751"/>
      <c r="F39" s="751" t="s">
        <v>370</v>
      </c>
      <c r="G39" s="751"/>
      <c r="H39" s="190"/>
      <c r="I39" s="190"/>
      <c r="J39" s="190"/>
      <c r="K39" s="191"/>
      <c r="Z39" s="762" t="s">
        <v>370</v>
      </c>
      <c r="AA39" s="762"/>
      <c r="AB39" s="762" t="s">
        <v>371</v>
      </c>
      <c r="AC39" s="762"/>
      <c r="AF39" s="154"/>
    </row>
    <row r="40" spans="1:32" ht="15.75" x14ac:dyDescent="0.25">
      <c r="A40" s="748" t="s">
        <v>288</v>
      </c>
      <c r="B40" s="749"/>
      <c r="C40" s="749"/>
      <c r="D40" s="749"/>
      <c r="E40" s="749"/>
      <c r="F40" s="749"/>
      <c r="G40" s="749"/>
      <c r="H40" s="749"/>
      <c r="I40" s="749"/>
      <c r="J40" s="749"/>
      <c r="K40" s="750"/>
      <c r="N40" s="856" t="s">
        <v>296</v>
      </c>
      <c r="O40" s="856"/>
      <c r="P40" s="856"/>
      <c r="Q40" s="856"/>
      <c r="R40" s="856"/>
      <c r="T40" s="852" t="s">
        <v>286</v>
      </c>
      <c r="U40" s="853"/>
      <c r="V40" s="857" t="s">
        <v>287</v>
      </c>
      <c r="W40" s="858"/>
      <c r="X40" s="858"/>
      <c r="Y40" s="858"/>
      <c r="Z40" s="858"/>
      <c r="AA40" s="858"/>
      <c r="AB40" s="858"/>
      <c r="AC40" s="858"/>
      <c r="AD40" s="858"/>
      <c r="AE40" s="858"/>
      <c r="AF40" s="859"/>
    </row>
    <row r="41" spans="1:32" ht="14.25" customHeight="1" thickBot="1" x14ac:dyDescent="0.3">
      <c r="A41" s="192"/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72"/>
      <c r="M41" s="72"/>
      <c r="N41" s="143"/>
      <c r="O41" s="837"/>
      <c r="P41" s="837"/>
      <c r="Q41" s="837"/>
      <c r="R41" s="142"/>
      <c r="S41" s="73"/>
      <c r="T41" s="854"/>
      <c r="U41" s="855"/>
      <c r="V41" s="860"/>
      <c r="W41" s="861"/>
      <c r="X41" s="861"/>
      <c r="Y41" s="861"/>
      <c r="Z41" s="861"/>
      <c r="AA41" s="861"/>
      <c r="AB41" s="861"/>
      <c r="AC41" s="861"/>
      <c r="AD41" s="861"/>
      <c r="AE41" s="861"/>
      <c r="AF41" s="862"/>
    </row>
    <row r="87" spans="13:13" ht="14.25" customHeight="1" x14ac:dyDescent="0.25">
      <c r="M87" t="s">
        <v>310</v>
      </c>
    </row>
    <row r="90" spans="13:13" ht="14.25" customHeight="1" x14ac:dyDescent="0.25">
      <c r="M90" t="s">
        <v>310</v>
      </c>
    </row>
    <row r="93" spans="13:13" ht="14.25" customHeight="1" x14ac:dyDescent="0.25">
      <c r="M93" t="s">
        <v>310</v>
      </c>
    </row>
    <row r="96" spans="13:13" ht="14.25" customHeight="1" x14ac:dyDescent="0.25">
      <c r="M96" t="s">
        <v>310</v>
      </c>
    </row>
    <row r="99" spans="13:13" ht="14.25" customHeight="1" x14ac:dyDescent="0.25">
      <c r="M99" t="s">
        <v>310</v>
      </c>
    </row>
    <row r="102" spans="13:13" ht="14.25" customHeight="1" x14ac:dyDescent="0.25">
      <c r="M102" t="s">
        <v>310</v>
      </c>
    </row>
    <row r="105" spans="13:13" ht="14.25" customHeight="1" x14ac:dyDescent="0.25">
      <c r="M105" t="s">
        <v>310</v>
      </c>
    </row>
    <row r="108" spans="13:13" ht="14.25" customHeight="1" x14ac:dyDescent="0.25">
      <c r="M108" t="s">
        <v>310</v>
      </c>
    </row>
    <row r="111" spans="13:13" ht="14.25" customHeight="1" x14ac:dyDescent="0.25">
      <c r="M111" t="s">
        <v>310</v>
      </c>
    </row>
    <row r="114" spans="13:13" ht="14.25" customHeight="1" x14ac:dyDescent="0.25">
      <c r="M114" t="s">
        <v>310</v>
      </c>
    </row>
    <row r="117" spans="13:13" ht="14.25" customHeight="1" x14ac:dyDescent="0.25">
      <c r="M117" t="s">
        <v>310</v>
      </c>
    </row>
    <row r="123" spans="13:13" ht="14.25" customHeight="1" x14ac:dyDescent="0.25">
      <c r="M123" t="s">
        <v>310</v>
      </c>
    </row>
    <row r="126" spans="13:13" ht="14.25" customHeight="1" x14ac:dyDescent="0.25">
      <c r="M126" t="s">
        <v>310</v>
      </c>
    </row>
    <row r="132" spans="13:13" ht="14.25" customHeight="1" x14ac:dyDescent="0.25">
      <c r="M132" t="s">
        <v>310</v>
      </c>
    </row>
    <row r="135" spans="13:13" ht="14.25" customHeight="1" x14ac:dyDescent="0.25">
      <c r="M135" t="s">
        <v>310</v>
      </c>
    </row>
    <row r="138" spans="13:13" ht="14.25" customHeight="1" x14ac:dyDescent="0.25">
      <c r="M138" t="s">
        <v>310</v>
      </c>
    </row>
    <row r="141" spans="13:13" ht="14.25" customHeight="1" x14ac:dyDescent="0.25">
      <c r="M141" t="s">
        <v>310</v>
      </c>
    </row>
    <row r="144" spans="13:13" ht="14.25" customHeight="1" x14ac:dyDescent="0.25">
      <c r="M144" t="s">
        <v>310</v>
      </c>
    </row>
  </sheetData>
  <mergeCells count="146"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H12:K12"/>
    <mergeCell ref="H13:K13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M12:N12"/>
    <mergeCell ref="Q12:R12"/>
    <mergeCell ref="Q14:R14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hoang nguyen</cp:lastModifiedBy>
  <cp:lastPrinted>2025-11-02T16:07:16Z</cp:lastPrinted>
  <dcterms:created xsi:type="dcterms:W3CDTF">2011-12-16T15:03:30Z</dcterms:created>
  <dcterms:modified xsi:type="dcterms:W3CDTF">2025-11-08T02:27:23Z</dcterms:modified>
</cp:coreProperties>
</file>